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ASC711\Desktop\FOASC 2018\2018 NCASEF\Economic Impact Worksheet Calculator\"/>
    </mc:Choice>
  </mc:AlternateContent>
  <xr:revisionPtr revIDLastSave="0" documentId="8_{4BABDE51-1370-4604-B7AF-101361103571}" xr6:coauthVersionLast="34" xr6:coauthVersionMax="34" xr10:uidLastSave="{00000000-0000-0000-0000-000000000000}"/>
  <bookViews>
    <workbookView xWindow="0" yWindow="0" windowWidth="17280" windowHeight="9450" xr2:uid="{650E994C-CA7A-4473-9CFE-58DE96B7B2A2}"/>
  </bookViews>
  <sheets>
    <sheet name="Sheet1" sheetId="1" r:id="rId1"/>
    <sheet name="Hide" sheetId="2" state="hidden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Q10" i="1"/>
  <c r="L6" i="1" l="1"/>
  <c r="L7" i="1" l="1"/>
  <c r="F13" i="1"/>
  <c r="F14" i="1"/>
  <c r="F15" i="1"/>
  <c r="F16" i="1"/>
  <c r="F17" i="1"/>
  <c r="F18" i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L10" i="1"/>
  <c r="N10" i="1" s="1"/>
  <c r="L11" i="1" l="1"/>
  <c r="H6" i="1"/>
  <c r="H7" i="1" s="1"/>
  <c r="G6" i="1" l="1"/>
  <c r="G7" i="1" s="1"/>
  <c r="A22" i="2"/>
  <c r="A21" i="2"/>
  <c r="A20" i="2"/>
  <c r="A19" i="2"/>
  <c r="A18" i="2"/>
  <c r="A17" i="2"/>
  <c r="A16" i="2"/>
  <c r="A15" i="2"/>
  <c r="A14" i="2"/>
  <c r="A13" i="2"/>
  <c r="A12" i="2"/>
  <c r="A8" i="2"/>
  <c r="A7" i="2"/>
  <c r="A6" i="2"/>
  <c r="A5" i="2"/>
  <c r="A4" i="2"/>
  <c r="A3" i="2"/>
  <c r="A2" i="2"/>
  <c r="A24" i="2" l="1"/>
  <c r="A10" i="2"/>
  <c r="H10" i="1" l="1"/>
  <c r="J6" i="1" s="1"/>
  <c r="H22" i="1"/>
  <c r="G40" i="1"/>
  <c r="G39" i="1"/>
  <c r="I39" i="1" s="1"/>
  <c r="B39" i="1"/>
  <c r="B13" i="2"/>
  <c r="B2" i="2"/>
  <c r="J10" i="1" l="1"/>
  <c r="G22" i="1"/>
  <c r="G23" i="1" s="1"/>
  <c r="H23" i="1"/>
  <c r="G10" i="1"/>
  <c r="G11" i="1" s="1"/>
  <c r="H11" i="1"/>
  <c r="B42" i="1"/>
  <c r="D39" i="1"/>
  <c r="B3" i="2"/>
  <c r="B4" i="2" s="1"/>
  <c r="B5" i="2" s="1"/>
  <c r="B6" i="2" s="1"/>
  <c r="B7" i="2" s="1"/>
  <c r="B14" i="2"/>
  <c r="B15" i="2" s="1"/>
  <c r="B16" i="2" s="1"/>
  <c r="B17" i="2" s="1"/>
  <c r="B18" i="2" s="1"/>
  <c r="B19" i="2" s="1"/>
  <c r="B20" i="2" s="1"/>
  <c r="B21" i="2" s="1"/>
  <c r="B22" i="2" s="1"/>
  <c r="C39" i="1"/>
  <c r="E39" i="1" s="1"/>
  <c r="F39" i="1" s="1"/>
  <c r="G41" i="1"/>
  <c r="I40" i="1"/>
  <c r="B43" i="1"/>
  <c r="D43" i="1" s="1"/>
  <c r="B44" i="1"/>
  <c r="D44" i="1" s="1"/>
  <c r="B40" i="1"/>
  <c r="D40" i="1" s="1"/>
  <c r="C42" i="1" l="1"/>
  <c r="E42" i="1" s="1"/>
  <c r="F42" i="1" s="1"/>
  <c r="D42" i="1"/>
  <c r="B41" i="1"/>
  <c r="D41" i="1" s="1"/>
  <c r="C40" i="1"/>
  <c r="E40" i="1" s="1"/>
  <c r="F40" i="1" s="1"/>
  <c r="C43" i="1"/>
  <c r="E43" i="1" s="1"/>
  <c r="F43" i="1" s="1"/>
  <c r="C44" i="1"/>
  <c r="E44" i="1" s="1"/>
  <c r="F44" i="1" s="1"/>
  <c r="B45" i="1"/>
  <c r="D45" i="1" s="1"/>
  <c r="B46" i="1"/>
  <c r="D46" i="1" s="1"/>
  <c r="I41" i="1"/>
  <c r="G42" i="1"/>
  <c r="G43" i="1" l="1"/>
  <c r="I42" i="1"/>
  <c r="C45" i="1"/>
  <c r="E45" i="1" s="1"/>
  <c r="F45" i="1" s="1"/>
  <c r="B47" i="1"/>
  <c r="D47" i="1" s="1"/>
  <c r="C46" i="1"/>
  <c r="E46" i="1" s="1"/>
  <c r="F46" i="1" s="1"/>
  <c r="C41" i="1"/>
  <c r="E41" i="1" s="1"/>
  <c r="F41" i="1" s="1"/>
  <c r="C47" i="1" l="1"/>
  <c r="E47" i="1" s="1"/>
  <c r="F47" i="1" s="1"/>
  <c r="B48" i="1"/>
  <c r="D48" i="1" s="1"/>
  <c r="G44" i="1"/>
  <c r="I43" i="1"/>
  <c r="B49" i="1" l="1"/>
  <c r="D49" i="1" s="1"/>
  <c r="C48" i="1"/>
  <c r="E48" i="1" s="1"/>
  <c r="F48" i="1" s="1"/>
  <c r="G45" i="1"/>
  <c r="I44" i="1"/>
  <c r="I45" i="1" l="1"/>
  <c r="G46" i="1"/>
  <c r="C49" i="1"/>
  <c r="E49" i="1" s="1"/>
  <c r="F49" i="1" s="1"/>
  <c r="B50" i="1"/>
  <c r="D50" i="1" s="1"/>
  <c r="G47" i="1" l="1"/>
  <c r="I46" i="1"/>
  <c r="B51" i="1"/>
  <c r="D51" i="1" s="1"/>
  <c r="C50" i="1"/>
  <c r="E50" i="1" s="1"/>
  <c r="F50" i="1" s="1"/>
  <c r="C51" i="1" l="1"/>
  <c r="E51" i="1" s="1"/>
  <c r="F51" i="1" s="1"/>
  <c r="B52" i="1"/>
  <c r="D52" i="1" s="1"/>
  <c r="G48" i="1"/>
  <c r="I47" i="1"/>
  <c r="B53" i="1" l="1"/>
  <c r="D53" i="1" s="1"/>
  <c r="C52" i="1"/>
  <c r="E52" i="1" s="1"/>
  <c r="F52" i="1" s="1"/>
  <c r="G49" i="1"/>
  <c r="I48" i="1"/>
  <c r="C53" i="1" l="1"/>
  <c r="E53" i="1" s="1"/>
  <c r="F53" i="1" s="1"/>
  <c r="B54" i="1"/>
  <c r="D54" i="1" s="1"/>
  <c r="G50" i="1"/>
  <c r="I49" i="1"/>
  <c r="C54" i="1" l="1"/>
  <c r="E54" i="1" s="1"/>
  <c r="F54" i="1" s="1"/>
  <c r="B55" i="1"/>
  <c r="D55" i="1" s="1"/>
  <c r="G51" i="1"/>
  <c r="I50" i="1"/>
  <c r="C55" i="1" l="1"/>
  <c r="E55" i="1" s="1"/>
  <c r="F55" i="1" s="1"/>
  <c r="B56" i="1"/>
  <c r="D56" i="1" s="1"/>
  <c r="G52" i="1"/>
  <c r="I51" i="1"/>
  <c r="B57" i="1" l="1"/>
  <c r="D57" i="1" s="1"/>
  <c r="C56" i="1"/>
  <c r="E56" i="1" s="1"/>
  <c r="F56" i="1" s="1"/>
  <c r="G53" i="1"/>
  <c r="I52" i="1"/>
  <c r="G54" i="1" l="1"/>
  <c r="I53" i="1"/>
  <c r="C57" i="1"/>
  <c r="E57" i="1" s="1"/>
  <c r="F57" i="1" s="1"/>
  <c r="B58" i="1"/>
  <c r="D58" i="1" s="1"/>
  <c r="B59" i="1" l="1"/>
  <c r="D59" i="1" s="1"/>
  <c r="C58" i="1"/>
  <c r="E58" i="1" s="1"/>
  <c r="F58" i="1" s="1"/>
  <c r="G55" i="1"/>
  <c r="I54" i="1"/>
  <c r="I55" i="1" l="1"/>
  <c r="G56" i="1"/>
  <c r="C59" i="1"/>
  <c r="E59" i="1" s="1"/>
  <c r="F59" i="1" s="1"/>
  <c r="B60" i="1"/>
  <c r="D60" i="1" s="1"/>
  <c r="G57" i="1" l="1"/>
  <c r="I56" i="1"/>
  <c r="B61" i="1"/>
  <c r="D61" i="1" s="1"/>
  <c r="C60" i="1"/>
  <c r="E60" i="1" s="1"/>
  <c r="F60" i="1" s="1"/>
  <c r="C61" i="1" l="1"/>
  <c r="E61" i="1" s="1"/>
  <c r="F61" i="1" s="1"/>
  <c r="B62" i="1"/>
  <c r="D62" i="1" s="1"/>
  <c r="G58" i="1"/>
  <c r="I57" i="1"/>
  <c r="B63" i="1" l="1"/>
  <c r="D63" i="1" s="1"/>
  <c r="C62" i="1"/>
  <c r="E62" i="1" s="1"/>
  <c r="F62" i="1" s="1"/>
  <c r="G59" i="1"/>
  <c r="I58" i="1"/>
  <c r="G60" i="1" l="1"/>
  <c r="I59" i="1"/>
  <c r="C63" i="1"/>
  <c r="E63" i="1" s="1"/>
  <c r="F63" i="1" s="1"/>
  <c r="G61" i="1" l="1"/>
  <c r="I60" i="1"/>
  <c r="G62" i="1" l="1"/>
  <c r="I61" i="1"/>
  <c r="G63" i="1" l="1"/>
  <c r="I62" i="1"/>
  <c r="I63" i="1" l="1"/>
</calcChain>
</file>

<file path=xl/sharedStrings.xml><?xml version="1.0" encoding="utf-8"?>
<sst xmlns="http://schemas.openxmlformats.org/spreadsheetml/2006/main" count="73" uniqueCount="49">
  <si>
    <t>Old GGPS Model</t>
  </si>
  <si>
    <t>Amount in Bracket</t>
  </si>
  <si>
    <t>%SEI</t>
  </si>
  <si>
    <t>%FZ</t>
  </si>
  <si>
    <t>SEI Gross Income</t>
  </si>
  <si>
    <t>FZ Gross Income</t>
  </si>
  <si>
    <t>0-150K</t>
  </si>
  <si>
    <t>150,001K-300K</t>
  </si>
  <si>
    <t xml:space="preserve"> </t>
  </si>
  <si>
    <t>300,001K-400k</t>
  </si>
  <si>
    <t>400,001k-500k</t>
  </si>
  <si>
    <t>500,001k-750k</t>
  </si>
  <si>
    <t>750,001k-1,000,000</t>
  </si>
  <si>
    <t>1,000,001 and up</t>
  </si>
  <si>
    <t>New GGPS Model</t>
  </si>
  <si>
    <t>0-200k</t>
  </si>
  <si>
    <t>200,001k-250k</t>
  </si>
  <si>
    <t>250,001k-300k</t>
  </si>
  <si>
    <t>Old GGPS Formula w/ Old Ad Fee Formula</t>
  </si>
  <si>
    <t>New GGPS Formula w/New Ad Fee at 1%</t>
  </si>
  <si>
    <t>Franchisee Gross Income</t>
  </si>
  <si>
    <t>Franchisee Share of GP After Ad Fee</t>
  </si>
  <si>
    <t>300,001k-350k</t>
  </si>
  <si>
    <t>350,001k-400k</t>
  </si>
  <si>
    <t>400,001k-450k</t>
  </si>
  <si>
    <t>450,001k-650k</t>
  </si>
  <si>
    <t>650,001k-900k</t>
  </si>
  <si>
    <t>900,001k-1,400,000</t>
  </si>
  <si>
    <t>1,400,001-1,600,000</t>
  </si>
  <si>
    <t>1,600,001 up</t>
  </si>
  <si>
    <t>HIDE THIS COLUMN</t>
  </si>
  <si>
    <t>Advertising Fee Current Agreement</t>
  </si>
  <si>
    <t>Advertising Fee New Agreement</t>
  </si>
  <si>
    <t xml:space="preserve"> FZ Gross Income</t>
  </si>
  <si>
    <t>Estimated Cost of Payroll Processing</t>
  </si>
  <si>
    <t>Montly Allowance (5 Yrs-60 Mos)</t>
  </si>
  <si>
    <r>
      <t xml:space="preserve">Look up 12 Month Total GP$                           Found on Monthly Reports                              </t>
    </r>
    <r>
      <rPr>
        <b/>
        <sz val="11"/>
        <color rgb="FFFF0000"/>
        <rFont val="Calibri"/>
        <family val="2"/>
        <scheme val="minor"/>
      </rPr>
      <t xml:space="preserve"> 48A RPT - Supplemental Schedule (Pg 5) Base Period Gross Profit</t>
    </r>
  </si>
  <si>
    <r>
      <t xml:space="preserve">Sales Last 12 Months - </t>
    </r>
    <r>
      <rPr>
        <b/>
        <sz val="11"/>
        <color rgb="FFFF0000"/>
        <rFont val="Calibri"/>
        <family val="2"/>
        <scheme val="minor"/>
      </rPr>
      <t>Use 2017 Total Sales (This is used to Estimate Insurance)</t>
    </r>
  </si>
  <si>
    <t>Impact of Advertising Fee Change</t>
  </si>
  <si>
    <t>Calculated Gross Profit % (Based on numbers entered)</t>
  </si>
  <si>
    <t>Estimated Insurance Cost (Call AON at 800-527-9034 for Actual Cost)</t>
  </si>
  <si>
    <t>Additional Agreement Changes with Potential Financial Impact</t>
  </si>
  <si>
    <t>Items in Brackets have a negative impact on Net Income</t>
  </si>
  <si>
    <t>Items not in Brackets have a positive impact on Net Income</t>
  </si>
  <si>
    <t xml:space="preserve">50-50 Split Model                            Agreements Signed from 2004 to mid 2006 </t>
  </si>
  <si>
    <t>Old GGPS Model                               Agreements signed from late 2006 thru June 2018</t>
  </si>
  <si>
    <t>New GGPS Model                                 All Agreements Going Forward</t>
  </si>
  <si>
    <t>Annual Difference from 50/50 to Old GGPS</t>
  </si>
  <si>
    <t>Annual Difference Old GGPS to New GGPS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</si>
</sst>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_);_(&quot;$&quot;* \(#,##0\);_(&quot;$&quot;* &quot;-&quot;?_);_(@_)"/>
    <numFmt numFmtId="167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0" fillId="0" borderId="0" xfId="1" applyFont="1"/>
    <xf numFmtId="0" fontId="4" fillId="2" borderId="10" xfId="0" applyFont="1" applyFill="1" applyBorder="1"/>
    <xf numFmtId="44" fontId="3" fillId="2" borderId="11" xfId="1" applyFont="1" applyFill="1" applyBorder="1"/>
    <xf numFmtId="0" fontId="3" fillId="2" borderId="11" xfId="0" applyFont="1" applyFill="1" applyBorder="1" applyAlignment="1">
      <alignment horizontal="center"/>
    </xf>
    <xf numFmtId="44" fontId="0" fillId="2" borderId="12" xfId="1" applyFont="1" applyFill="1" applyBorder="1"/>
    <xf numFmtId="44" fontId="5" fillId="4" borderId="13" xfId="1" applyFont="1" applyFill="1" applyBorder="1"/>
    <xf numFmtId="44" fontId="6" fillId="4" borderId="14" xfId="1" applyFont="1" applyFill="1" applyBorder="1"/>
    <xf numFmtId="0" fontId="6" fillId="4" borderId="14" xfId="0" applyFont="1" applyFill="1" applyBorder="1" applyAlignment="1">
      <alignment horizontal="center"/>
    </xf>
    <xf numFmtId="0" fontId="3" fillId="0" borderId="15" xfId="0" applyFont="1" applyBorder="1"/>
    <xf numFmtId="44" fontId="3" fillId="0" borderId="15" xfId="1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4" fillId="5" borderId="15" xfId="0" applyFont="1" applyFill="1" applyBorder="1" applyAlignment="1">
      <alignment horizontal="center" wrapText="1"/>
    </xf>
    <xf numFmtId="0" fontId="3" fillId="0" borderId="16" xfId="0" applyFont="1" applyBorder="1"/>
    <xf numFmtId="44" fontId="3" fillId="0" borderId="16" xfId="1" applyFont="1" applyBorder="1" applyAlignment="1">
      <alignment wrapText="1"/>
    </xf>
    <xf numFmtId="0" fontId="3" fillId="0" borderId="17" xfId="0" applyFont="1" applyBorder="1" applyAlignment="1">
      <alignment horizontal="center"/>
    </xf>
    <xf numFmtId="44" fontId="3" fillId="0" borderId="2" xfId="1" applyFont="1" applyBorder="1"/>
    <xf numFmtId="10" fontId="3" fillId="0" borderId="2" xfId="2" applyNumberFormat="1" applyFont="1" applyBorder="1" applyAlignment="1">
      <alignment horizontal="center"/>
    </xf>
    <xf numFmtId="10" fontId="3" fillId="3" borderId="2" xfId="2" applyNumberFormat="1" applyFont="1" applyFill="1" applyBorder="1" applyAlignment="1">
      <alignment horizontal="center"/>
    </xf>
    <xf numFmtId="10" fontId="3" fillId="5" borderId="3" xfId="2" applyNumberFormat="1" applyFont="1" applyFill="1" applyBorder="1" applyAlignment="1">
      <alignment horizontal="center"/>
    </xf>
    <xf numFmtId="44" fontId="3" fillId="0" borderId="1" xfId="1" applyFont="1" applyBorder="1"/>
    <xf numFmtId="44" fontId="3" fillId="3" borderId="2" xfId="1" applyFont="1" applyFill="1" applyBorder="1"/>
    <xf numFmtId="44" fontId="3" fillId="0" borderId="5" xfId="0" applyNumberFormat="1" applyFont="1" applyBorder="1"/>
    <xf numFmtId="44" fontId="3" fillId="0" borderId="5" xfId="1" applyFont="1" applyBorder="1"/>
    <xf numFmtId="10" fontId="3" fillId="0" borderId="5" xfId="2" applyNumberFormat="1" applyFont="1" applyBorder="1" applyAlignment="1">
      <alignment horizontal="center"/>
    </xf>
    <xf numFmtId="10" fontId="3" fillId="3" borderId="5" xfId="2" applyNumberFormat="1" applyFont="1" applyFill="1" applyBorder="1" applyAlignment="1">
      <alignment horizontal="center"/>
    </xf>
    <xf numFmtId="44" fontId="3" fillId="0" borderId="4" xfId="1" applyFont="1" applyBorder="1"/>
    <xf numFmtId="44" fontId="3" fillId="3" borderId="5" xfId="1" applyFont="1" applyFill="1" applyBorder="1"/>
    <xf numFmtId="44" fontId="3" fillId="0" borderId="19" xfId="0" applyNumberFormat="1" applyFont="1" applyBorder="1"/>
    <xf numFmtId="44" fontId="3" fillId="0" borderId="19" xfId="1" applyFont="1" applyBorder="1"/>
    <xf numFmtId="10" fontId="3" fillId="0" borderId="19" xfId="2" applyNumberFormat="1" applyFont="1" applyBorder="1" applyAlignment="1">
      <alignment horizontal="center"/>
    </xf>
    <xf numFmtId="10" fontId="3" fillId="3" borderId="19" xfId="2" applyNumberFormat="1" applyFont="1" applyFill="1" applyBorder="1" applyAlignment="1">
      <alignment horizontal="center"/>
    </xf>
    <xf numFmtId="10" fontId="3" fillId="5" borderId="20" xfId="2" applyNumberFormat="1" applyFont="1" applyFill="1" applyBorder="1" applyAlignment="1">
      <alignment horizontal="center"/>
    </xf>
    <xf numFmtId="44" fontId="3" fillId="0" borderId="18" xfId="1" applyFont="1" applyBorder="1"/>
    <xf numFmtId="44" fontId="3" fillId="3" borderId="19" xfId="1" applyFont="1" applyFill="1" applyBorder="1"/>
    <xf numFmtId="44" fontId="3" fillId="0" borderId="2" xfId="0" applyNumberFormat="1" applyFont="1" applyFill="1" applyBorder="1"/>
    <xf numFmtId="44" fontId="3" fillId="0" borderId="2" xfId="1" applyFont="1" applyFill="1" applyBorder="1"/>
    <xf numFmtId="10" fontId="3" fillId="0" borderId="2" xfId="2" applyNumberFormat="1" applyFont="1" applyFill="1" applyBorder="1" applyAlignment="1">
      <alignment horizontal="center"/>
    </xf>
    <xf numFmtId="44" fontId="3" fillId="0" borderId="1" xfId="1" applyFont="1" applyFill="1" applyBorder="1"/>
    <xf numFmtId="44" fontId="3" fillId="0" borderId="5" xfId="0" applyNumberFormat="1" applyFont="1" applyFill="1" applyBorder="1"/>
    <xf numFmtId="44" fontId="3" fillId="0" borderId="5" xfId="1" applyFont="1" applyFill="1" applyBorder="1"/>
    <xf numFmtId="10" fontId="3" fillId="0" borderId="5" xfId="2" applyNumberFormat="1" applyFont="1" applyFill="1" applyBorder="1" applyAlignment="1">
      <alignment horizontal="center"/>
    </xf>
    <xf numFmtId="44" fontId="3" fillId="0" borderId="4" xfId="1" applyFont="1" applyFill="1" applyBorder="1"/>
    <xf numFmtId="10" fontId="3" fillId="5" borderId="6" xfId="2" applyNumberFormat="1" applyFont="1" applyFill="1" applyBorder="1" applyAlignment="1">
      <alignment horizontal="center"/>
    </xf>
    <xf numFmtId="44" fontId="3" fillId="0" borderId="8" xfId="0" applyNumberFormat="1" applyFont="1" applyBorder="1"/>
    <xf numFmtId="44" fontId="3" fillId="0" borderId="8" xfId="1" applyFont="1" applyBorder="1"/>
    <xf numFmtId="10" fontId="3" fillId="0" borderId="8" xfId="2" applyNumberFormat="1" applyFont="1" applyBorder="1" applyAlignment="1">
      <alignment horizontal="center"/>
    </xf>
    <xf numFmtId="10" fontId="3" fillId="3" borderId="8" xfId="2" applyNumberFormat="1" applyFont="1" applyFill="1" applyBorder="1" applyAlignment="1">
      <alignment horizontal="center"/>
    </xf>
    <xf numFmtId="10" fontId="3" fillId="5" borderId="9" xfId="2" applyNumberFormat="1" applyFont="1" applyFill="1" applyBorder="1" applyAlignment="1">
      <alignment horizontal="center"/>
    </xf>
    <xf numFmtId="44" fontId="3" fillId="0" borderId="7" xfId="1" applyFont="1" applyBorder="1"/>
    <xf numFmtId="44" fontId="3" fillId="3" borderId="8" xfId="1" applyFont="1" applyFill="1" applyBorder="1"/>
    <xf numFmtId="0" fontId="0" fillId="0" borderId="0" xfId="0" applyAlignment="1">
      <alignment horizontal="center"/>
    </xf>
    <xf numFmtId="44" fontId="0" fillId="0" borderId="0" xfId="0" applyNumberFormat="1" applyFont="1" applyAlignment="1">
      <alignment horizontal="center"/>
    </xf>
    <xf numFmtId="165" fontId="0" fillId="5" borderId="0" xfId="0" applyNumberFormat="1" applyFill="1"/>
    <xf numFmtId="165" fontId="2" fillId="5" borderId="0" xfId="0" applyNumberFormat="1" applyFont="1" applyFill="1"/>
    <xf numFmtId="0" fontId="0" fillId="5" borderId="0" xfId="0" applyFill="1"/>
    <xf numFmtId="44" fontId="0" fillId="5" borderId="0" xfId="0" applyNumberFormat="1" applyFill="1"/>
    <xf numFmtId="0" fontId="0" fillId="0" borderId="0" xfId="0" applyFont="1" applyProtection="1">
      <protection hidden="1"/>
    </xf>
    <xf numFmtId="0" fontId="0" fillId="0" borderId="1" xfId="0" applyFont="1" applyBorder="1" applyProtection="1">
      <protection hidden="1"/>
    </xf>
    <xf numFmtId="44" fontId="0" fillId="0" borderId="2" xfId="1" applyFont="1" applyBorder="1" applyProtection="1">
      <protection hidden="1"/>
    </xf>
    <xf numFmtId="44" fontId="0" fillId="3" borderId="3" xfId="1" applyFont="1" applyFill="1" applyBorder="1" applyProtection="1">
      <protection hidden="1"/>
    </xf>
    <xf numFmtId="0" fontId="0" fillId="0" borderId="4" xfId="0" applyFont="1" applyBorder="1" applyProtection="1">
      <protection hidden="1"/>
    </xf>
    <xf numFmtId="44" fontId="0" fillId="0" borderId="5" xfId="1" applyFont="1" applyBorder="1" applyProtection="1">
      <protection hidden="1"/>
    </xf>
    <xf numFmtId="44" fontId="0" fillId="3" borderId="6" xfId="1" applyFont="1" applyFill="1" applyBorder="1" applyProtection="1">
      <protection hidden="1"/>
    </xf>
    <xf numFmtId="0" fontId="0" fillId="0" borderId="7" xfId="0" applyFont="1" applyBorder="1" applyProtection="1">
      <protection hidden="1"/>
    </xf>
    <xf numFmtId="44" fontId="0" fillId="0" borderId="8" xfId="1" applyFont="1" applyBorder="1" applyProtection="1">
      <protection hidden="1"/>
    </xf>
    <xf numFmtId="9" fontId="0" fillId="0" borderId="8" xfId="2" applyFont="1" applyBorder="1" applyAlignment="1" applyProtection="1">
      <alignment horizontal="center"/>
      <protection hidden="1"/>
    </xf>
    <xf numFmtId="9" fontId="0" fillId="3" borderId="8" xfId="2" applyFont="1" applyFill="1" applyBorder="1" applyAlignment="1" applyProtection="1">
      <alignment horizontal="center"/>
      <protection hidden="1"/>
    </xf>
    <xf numFmtId="44" fontId="0" fillId="3" borderId="9" xfId="1" applyFont="1" applyFill="1" applyBorder="1" applyProtection="1">
      <protection hidden="1"/>
    </xf>
    <xf numFmtId="0" fontId="0" fillId="0" borderId="0" xfId="0" applyFont="1" applyBorder="1" applyProtection="1">
      <protection hidden="1"/>
    </xf>
    <xf numFmtId="44" fontId="0" fillId="0" borderId="0" xfId="1" applyFont="1" applyBorder="1" applyProtection="1">
      <protection hidden="1"/>
    </xf>
    <xf numFmtId="9" fontId="0" fillId="0" borderId="0" xfId="2" applyFont="1" applyBorder="1" applyAlignment="1" applyProtection="1">
      <alignment horizontal="center"/>
      <protection hidden="1"/>
    </xf>
    <xf numFmtId="9" fontId="0" fillId="0" borderId="0" xfId="2" applyFont="1" applyFill="1" applyBorder="1" applyAlignment="1" applyProtection="1">
      <alignment horizontal="center"/>
      <protection hidden="1"/>
    </xf>
    <xf numFmtId="44" fontId="0" fillId="0" borderId="0" xfId="1" applyFont="1" applyFill="1" applyBorder="1" applyProtection="1">
      <protection hidden="1"/>
    </xf>
    <xf numFmtId="9" fontId="0" fillId="0" borderId="2" xfId="2" applyFont="1" applyBorder="1" applyAlignment="1" applyProtection="1">
      <alignment horizontal="center"/>
      <protection hidden="1"/>
    </xf>
    <xf numFmtId="9" fontId="0" fillId="3" borderId="2" xfId="2" applyFont="1" applyFill="1" applyBorder="1" applyAlignment="1" applyProtection="1">
      <alignment horizontal="center"/>
      <protection hidden="1"/>
    </xf>
    <xf numFmtId="9" fontId="0" fillId="0" borderId="5" xfId="2" applyFont="1" applyBorder="1" applyAlignment="1" applyProtection="1">
      <alignment horizontal="center"/>
      <protection hidden="1"/>
    </xf>
    <xf numFmtId="9" fontId="0" fillId="3" borderId="5" xfId="2" applyFont="1" applyFill="1" applyBorder="1" applyAlignment="1" applyProtection="1">
      <alignment horizontal="center"/>
      <protection hidden="1"/>
    </xf>
    <xf numFmtId="3" fontId="0" fillId="0" borderId="4" xfId="0" applyNumberFormat="1" applyFont="1" applyBorder="1" applyProtection="1">
      <protection hidden="1"/>
    </xf>
    <xf numFmtId="0" fontId="0" fillId="0" borderId="0" xfId="0" applyBorder="1"/>
    <xf numFmtId="9" fontId="0" fillId="0" borderId="0" xfId="2" applyNumberFormat="1" applyFont="1" applyBorder="1" applyAlignment="1" applyProtection="1">
      <alignment horizontal="center"/>
      <protection hidden="1"/>
    </xf>
    <xf numFmtId="9" fontId="0" fillId="3" borderId="0" xfId="2" applyNumberFormat="1" applyFont="1" applyFill="1" applyBorder="1" applyAlignment="1" applyProtection="1">
      <alignment horizontal="center"/>
      <protection hidden="1"/>
    </xf>
    <xf numFmtId="44" fontId="0" fillId="3" borderId="0" xfId="1" applyFont="1" applyFill="1" applyBorder="1" applyProtection="1">
      <protection hidden="1"/>
    </xf>
    <xf numFmtId="9" fontId="0" fillId="3" borderId="0" xfId="2" applyFont="1" applyFill="1" applyBorder="1" applyAlignment="1" applyProtection="1">
      <alignment horizontal="center"/>
      <protection hidden="1"/>
    </xf>
    <xf numFmtId="0" fontId="2" fillId="4" borderId="21" xfId="0" applyFont="1" applyFill="1" applyBorder="1" applyProtection="1">
      <protection hidden="1"/>
    </xf>
    <xf numFmtId="44" fontId="2" fillId="4" borderId="22" xfId="1" applyFont="1" applyFill="1" applyBorder="1" applyAlignment="1" applyProtection="1">
      <alignment wrapText="1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44" fontId="2" fillId="4" borderId="23" xfId="1" applyFont="1" applyFill="1" applyBorder="1" applyProtection="1">
      <protection hidden="1"/>
    </xf>
    <xf numFmtId="0" fontId="0" fillId="0" borderId="0" xfId="0" applyBorder="1" applyAlignment="1">
      <alignment horizontal="center"/>
    </xf>
    <xf numFmtId="44" fontId="0" fillId="0" borderId="0" xfId="1" applyFont="1" applyBorder="1"/>
    <xf numFmtId="164" fontId="8" fillId="0" borderId="0" xfId="1" applyNumberFormat="1" applyFont="1" applyBorder="1"/>
    <xf numFmtId="0" fontId="2" fillId="2" borderId="0" xfId="0" applyFont="1" applyFill="1" applyBorder="1" applyProtection="1">
      <protection hidden="1"/>
    </xf>
    <xf numFmtId="44" fontId="2" fillId="2" borderId="0" xfId="1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44" fontId="2" fillId="2" borderId="0" xfId="1" applyFont="1" applyFill="1" applyBorder="1" applyProtection="1">
      <protection hidden="1"/>
    </xf>
    <xf numFmtId="0" fontId="0" fillId="0" borderId="0" xfId="0" applyFont="1" applyBorder="1" applyAlignment="1">
      <alignment horizontal="center"/>
    </xf>
    <xf numFmtId="9" fontId="0" fillId="0" borderId="0" xfId="2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/>
    <xf numFmtId="10" fontId="4" fillId="0" borderId="0" xfId="2" applyNumberFormat="1" applyFont="1" applyBorder="1"/>
    <xf numFmtId="0" fontId="3" fillId="0" borderId="0" xfId="0" applyFont="1"/>
    <xf numFmtId="164" fontId="4" fillId="0" borderId="0" xfId="1" applyNumberFormat="1" applyFont="1"/>
    <xf numFmtId="164" fontId="4" fillId="0" borderId="5" xfId="1" applyNumberFormat="1" applyFont="1" applyBorder="1"/>
    <xf numFmtId="0" fontId="2" fillId="0" borderId="5" xfId="0" applyFont="1" applyBorder="1" applyAlignment="1">
      <alignment horizontal="center" vertical="center" wrapText="1"/>
    </xf>
    <xf numFmtId="164" fontId="4" fillId="0" borderId="5" xfId="1" quotePrefix="1" applyNumberFormat="1" applyFont="1" applyBorder="1"/>
    <xf numFmtId="0" fontId="0" fillId="0" borderId="0" xfId="0" quotePrefix="1"/>
    <xf numFmtId="0" fontId="2" fillId="0" borderId="0" xfId="0" applyFont="1" applyBorder="1" applyAlignment="1">
      <alignment horizontal="center" vertical="center" wrapText="1"/>
    </xf>
    <xf numFmtId="164" fontId="4" fillId="0" borderId="0" xfId="1" applyNumberFormat="1" applyFont="1" applyBorder="1"/>
    <xf numFmtId="0" fontId="3" fillId="0" borderId="0" xfId="0" applyFont="1" applyBorder="1"/>
    <xf numFmtId="0" fontId="11" fillId="0" borderId="0" xfId="0" applyFont="1" applyBorder="1" applyAlignment="1">
      <alignment vertical="center" wrapText="1"/>
    </xf>
    <xf numFmtId="164" fontId="0" fillId="0" borderId="0" xfId="0" applyNumberFormat="1" applyBorder="1"/>
    <xf numFmtId="0" fontId="4" fillId="0" borderId="0" xfId="0" applyFont="1" applyBorder="1"/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wrapText="1"/>
    </xf>
    <xf numFmtId="164" fontId="2" fillId="0" borderId="5" xfId="0" applyNumberFormat="1" applyFont="1" applyBorder="1"/>
    <xf numFmtId="0" fontId="2" fillId="0" borderId="5" xfId="0" applyFont="1" applyBorder="1" applyAlignment="1">
      <alignment vertical="center" wrapText="1"/>
    </xf>
    <xf numFmtId="0" fontId="0" fillId="0" borderId="24" xfId="0" applyBorder="1"/>
    <xf numFmtId="0" fontId="2" fillId="0" borderId="26" xfId="0" applyFont="1" applyBorder="1" applyAlignment="1">
      <alignment horizontal="center" vertical="center" wrapText="1"/>
    </xf>
    <xf numFmtId="0" fontId="0" fillId="0" borderId="29" xfId="0" applyBorder="1"/>
    <xf numFmtId="164" fontId="7" fillId="0" borderId="30" xfId="1" applyNumberFormat="1" applyFont="1" applyBorder="1" applyProtection="1">
      <protection locked="0"/>
    </xf>
    <xf numFmtId="0" fontId="2" fillId="0" borderId="30" xfId="0" applyFont="1" applyBorder="1" applyAlignment="1">
      <alignment horizontal="center" vertical="top" wrapText="1"/>
    </xf>
    <xf numFmtId="0" fontId="0" fillId="0" borderId="29" xfId="0" applyBorder="1" applyAlignment="1">
      <alignment horizontal="center"/>
    </xf>
    <xf numFmtId="164" fontId="7" fillId="0" borderId="28" xfId="1" applyNumberFormat="1" applyFont="1" applyBorder="1" applyAlignment="1" applyProtection="1">
      <alignment horizontal="center"/>
      <protection locked="0"/>
    </xf>
    <xf numFmtId="44" fontId="0" fillId="0" borderId="29" xfId="1" applyFont="1" applyBorder="1"/>
    <xf numFmtId="44" fontId="0" fillId="0" borderId="24" xfId="1" applyFont="1" applyBorder="1"/>
    <xf numFmtId="0" fontId="0" fillId="0" borderId="24" xfId="0" applyBorder="1" applyAlignment="1">
      <alignment horizontal="center"/>
    </xf>
    <xf numFmtId="9" fontId="4" fillId="0" borderId="32" xfId="2" applyFont="1" applyBorder="1"/>
    <xf numFmtId="44" fontId="0" fillId="6" borderId="0" xfId="1" applyFont="1" applyFill="1" applyBorder="1"/>
    <xf numFmtId="0" fontId="0" fillId="6" borderId="0" xfId="0" applyFont="1" applyFill="1" applyBorder="1" applyAlignment="1">
      <alignment horizontal="center"/>
    </xf>
    <xf numFmtId="44" fontId="2" fillId="6" borderId="29" xfId="1" applyFont="1" applyFill="1" applyBorder="1" applyAlignment="1">
      <alignment horizontal="center" vertical="center" wrapText="1"/>
    </xf>
    <xf numFmtId="44" fontId="2" fillId="6" borderId="31" xfId="1" applyFont="1" applyFill="1" applyBorder="1" applyAlignment="1">
      <alignment horizontal="center" vertical="center"/>
    </xf>
    <xf numFmtId="164" fontId="4" fillId="0" borderId="25" xfId="1" applyNumberFormat="1" applyFont="1" applyBorder="1"/>
    <xf numFmtId="0" fontId="0" fillId="0" borderId="35" xfId="0" applyBorder="1"/>
    <xf numFmtId="0" fontId="0" fillId="0" borderId="36" xfId="0" applyBorder="1"/>
    <xf numFmtId="0" fontId="2" fillId="0" borderId="30" xfId="0" applyFont="1" applyBorder="1" applyAlignment="1">
      <alignment horizontal="center" vertical="center" wrapText="1"/>
    </xf>
    <xf numFmtId="44" fontId="0" fillId="2" borderId="0" xfId="1" applyFont="1" applyFill="1" applyBorder="1"/>
    <xf numFmtId="0" fontId="0" fillId="2" borderId="0" xfId="0" applyFill="1" applyBorder="1" applyAlignment="1">
      <alignment horizontal="center"/>
    </xf>
    <xf numFmtId="0" fontId="0" fillId="0" borderId="27" xfId="0" applyBorder="1"/>
    <xf numFmtId="44" fontId="0" fillId="0" borderId="27" xfId="1" applyFont="1" applyBorder="1"/>
    <xf numFmtId="0" fontId="0" fillId="0" borderId="27" xfId="0" applyBorder="1" applyAlignment="1">
      <alignment horizontal="center"/>
    </xf>
    <xf numFmtId="166" fontId="8" fillId="0" borderId="27" xfId="0" applyNumberFormat="1" applyFont="1" applyBorder="1"/>
    <xf numFmtId="0" fontId="2" fillId="2" borderId="37" xfId="0" applyFont="1" applyFill="1" applyBorder="1" applyAlignment="1" applyProtection="1">
      <alignment horizontal="center" vertical="center" wrapText="1"/>
      <protection hidden="1"/>
    </xf>
    <xf numFmtId="44" fontId="2" fillId="2" borderId="31" xfId="1" applyFont="1" applyFill="1" applyBorder="1" applyAlignment="1">
      <alignment horizontal="center" vertical="center"/>
    </xf>
    <xf numFmtId="10" fontId="4" fillId="0" borderId="32" xfId="2" applyNumberFormat="1" applyFont="1" applyBorder="1"/>
    <xf numFmtId="44" fontId="0" fillId="4" borderId="38" xfId="1" applyFont="1" applyFill="1" applyBorder="1" applyAlignment="1" applyProtection="1">
      <alignment horizontal="center"/>
      <protection hidden="1"/>
    </xf>
    <xf numFmtId="0" fontId="0" fillId="4" borderId="38" xfId="0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 vertical="center" wrapText="1"/>
      <protection hidden="1"/>
    </xf>
    <xf numFmtId="44" fontId="0" fillId="0" borderId="24" xfId="1" applyFont="1" applyBorder="1" applyProtection="1">
      <protection hidden="1"/>
    </xf>
    <xf numFmtId="0" fontId="0" fillId="0" borderId="24" xfId="0" applyFont="1" applyBorder="1" applyAlignment="1" applyProtection="1">
      <alignment horizontal="center"/>
      <protection hidden="1"/>
    </xf>
    <xf numFmtId="44" fontId="2" fillId="4" borderId="31" xfId="1" applyFont="1" applyFill="1" applyBorder="1" applyAlignment="1" applyProtection="1">
      <alignment horizontal="center" vertical="center"/>
      <protection hidden="1"/>
    </xf>
    <xf numFmtId="164" fontId="4" fillId="0" borderId="25" xfId="1" applyNumberFormat="1" applyFont="1" applyBorder="1" applyProtection="1">
      <protection hidden="1"/>
    </xf>
    <xf numFmtId="10" fontId="4" fillId="0" borderId="32" xfId="2" applyNumberFormat="1" applyFont="1" applyBorder="1" applyProtection="1">
      <protection hidden="1"/>
    </xf>
    <xf numFmtId="0" fontId="0" fillId="0" borderId="35" xfId="0" applyFont="1" applyBorder="1" applyProtection="1">
      <protection hidden="1"/>
    </xf>
    <xf numFmtId="0" fontId="0" fillId="0" borderId="36" xfId="0" applyFont="1" applyBorder="1" applyProtection="1">
      <protection hidden="1"/>
    </xf>
    <xf numFmtId="10" fontId="8" fillId="0" borderId="28" xfId="2" applyNumberFormat="1" applyFont="1" applyBorder="1" applyAlignment="1">
      <alignment horizontal="center"/>
    </xf>
    <xf numFmtId="167" fontId="4" fillId="0" borderId="0" xfId="2" applyNumberFormat="1" applyFont="1" applyBorder="1"/>
    <xf numFmtId="0" fontId="2" fillId="0" borderId="39" xfId="0" applyFont="1" applyBorder="1" applyAlignment="1">
      <alignment horizontal="center" vertical="top" wrapText="1"/>
    </xf>
    <xf numFmtId="0" fontId="0" fillId="0" borderId="35" xfId="0" applyBorder="1" applyAlignment="1">
      <alignment horizontal="center"/>
    </xf>
    <xf numFmtId="0" fontId="3" fillId="0" borderId="35" xfId="0" applyFont="1" applyBorder="1" applyAlignment="1">
      <alignment horizontal="center"/>
    </xf>
    <xf numFmtId="167" fontId="4" fillId="0" borderId="30" xfId="2" applyNumberFormat="1" applyFont="1" applyBorder="1"/>
    <xf numFmtId="164" fontId="4" fillId="0" borderId="30" xfId="1" applyNumberFormat="1" applyFont="1" applyBorder="1"/>
    <xf numFmtId="164" fontId="8" fillId="0" borderId="27" xfId="1" applyNumberFormat="1" applyFont="1" applyBorder="1"/>
    <xf numFmtId="164" fontId="4" fillId="0" borderId="30" xfId="0" applyNumberFormat="1" applyFont="1" applyBorder="1"/>
    <xf numFmtId="10" fontId="4" fillId="0" borderId="30" xfId="2" applyNumberFormat="1" applyFont="1" applyBorder="1"/>
    <xf numFmtId="0" fontId="2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5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/>
    <xf numFmtId="166" fontId="4" fillId="0" borderId="29" xfId="0" applyNumberFormat="1" applyFont="1" applyBorder="1" applyAlignment="1">
      <alignment horizontal="center"/>
    </xf>
    <xf numFmtId="164" fontId="4" fillId="0" borderId="29" xfId="1" applyNumberFormat="1" applyFont="1" applyBorder="1" applyAlignment="1" applyProtection="1">
      <alignment horizontal="center"/>
      <protection hidden="1"/>
    </xf>
    <xf numFmtId="10" fontId="4" fillId="0" borderId="33" xfId="2" applyNumberFormat="1" applyFont="1" applyBorder="1" applyAlignment="1" applyProtection="1">
      <alignment horizontal="right"/>
      <protection hidden="1"/>
    </xf>
    <xf numFmtId="9" fontId="4" fillId="0" borderId="33" xfId="2" applyFont="1" applyBorder="1" applyAlignment="1">
      <alignment horizontal="right"/>
    </xf>
    <xf numFmtId="0" fontId="2" fillId="6" borderId="3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/>
    </xf>
    <xf numFmtId="164" fontId="4" fillId="0" borderId="36" xfId="0" applyNumberFormat="1" applyFont="1" applyBorder="1"/>
    <xf numFmtId="164" fontId="2" fillId="7" borderId="30" xfId="1" applyNumberFormat="1" applyFont="1" applyFill="1" applyBorder="1" applyAlignment="1">
      <alignment horizontal="center" wrapText="1"/>
    </xf>
    <xf numFmtId="164" fontId="2" fillId="2" borderId="30" xfId="1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1</xdr:row>
      <xdr:rowOff>0</xdr:rowOff>
    </xdr:from>
    <xdr:to>
      <xdr:col>7</xdr:col>
      <xdr:colOff>400050</xdr:colOff>
      <xdr:row>2</xdr:row>
      <xdr:rowOff>28575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3990280-E917-4099-8635-6E738C6E1B87}"/>
            </a:ext>
          </a:extLst>
        </xdr:cNvPr>
        <xdr:cNvSpPr/>
      </xdr:nvSpPr>
      <xdr:spPr>
        <a:xfrm>
          <a:off x="2466976" y="200025"/>
          <a:ext cx="1419224" cy="809625"/>
        </a:xfrm>
        <a:prstGeom prst="rightArrow">
          <a:avLst>
            <a:gd name="adj1" fmla="val 64815"/>
            <a:gd name="adj2" fmla="val 69710"/>
          </a:avLst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rgbClr val="FFFF00"/>
              </a:solidFill>
            </a:rPr>
            <a:t>Enter This Number Here</a:t>
          </a:r>
        </a:p>
      </xdr:txBody>
    </xdr:sp>
    <xdr:clientData/>
  </xdr:twoCellAnchor>
  <xdr:twoCellAnchor>
    <xdr:from>
      <xdr:col>10</xdr:col>
      <xdr:colOff>41414</xdr:colOff>
      <xdr:row>0</xdr:row>
      <xdr:rowOff>165651</xdr:rowOff>
    </xdr:from>
    <xdr:to>
      <xdr:col>13</xdr:col>
      <xdr:colOff>198784</xdr:colOff>
      <xdr:row>1</xdr:row>
      <xdr:rowOff>947943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7256D1B9-9432-4434-89C0-5DE532FF27B8}"/>
            </a:ext>
          </a:extLst>
        </xdr:cNvPr>
        <xdr:cNvSpPr/>
      </xdr:nvSpPr>
      <xdr:spPr>
        <a:xfrm>
          <a:off x="5847523" y="165651"/>
          <a:ext cx="1432891" cy="981075"/>
        </a:xfrm>
        <a:prstGeom prst="rightArrow">
          <a:avLst>
            <a:gd name="adj1" fmla="val 64815"/>
            <a:gd name="adj2" fmla="val 69710"/>
          </a:avLst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rgbClr val="FFFF00"/>
              </a:solidFill>
            </a:rPr>
            <a:t>Enter This Number Here</a:t>
          </a:r>
        </a:p>
      </xdr:txBody>
    </xdr:sp>
    <xdr:clientData/>
  </xdr:twoCellAnchor>
  <xdr:twoCellAnchor>
    <xdr:from>
      <xdr:col>12</xdr:col>
      <xdr:colOff>1018761</xdr:colOff>
      <xdr:row>4</xdr:row>
      <xdr:rowOff>546650</xdr:rowOff>
    </xdr:from>
    <xdr:to>
      <xdr:col>18</xdr:col>
      <xdr:colOff>82827</xdr:colOff>
      <xdr:row>10</xdr:row>
      <xdr:rowOff>173928</xdr:rowOff>
    </xdr:to>
    <xdr:sp macro="" textlink="">
      <xdr:nvSpPr>
        <xdr:cNvPr id="3" name="Rectangle: Diagonal Corners Rounded 2">
          <a:extLst>
            <a:ext uri="{FF2B5EF4-FFF2-40B4-BE49-F238E27FC236}">
              <a16:creationId xmlns:a16="http://schemas.microsoft.com/office/drawing/2014/main" id="{F5307703-CC1F-4536-B048-4F3B5BC7B54A}"/>
            </a:ext>
          </a:extLst>
        </xdr:cNvPr>
        <xdr:cNvSpPr/>
      </xdr:nvSpPr>
      <xdr:spPr>
        <a:xfrm flipV="1">
          <a:off x="6932544" y="1938128"/>
          <a:ext cx="4422913" cy="1921561"/>
        </a:xfrm>
        <a:prstGeom prst="round2Diag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F6C9-B520-41F0-8851-8F444E1796BF}">
  <sheetPr codeName="Sheet1">
    <pageSetUpPr fitToPage="1"/>
  </sheetPr>
  <dimension ref="A1:R63"/>
  <sheetViews>
    <sheetView showGridLines="0" showRowColHeaders="0" tabSelected="1" zoomScaleNormal="100" workbookViewId="0">
      <selection activeCell="H2" sqref="H2"/>
    </sheetView>
  </sheetViews>
  <sheetFormatPr defaultRowHeight="15" x14ac:dyDescent="0.25"/>
  <cols>
    <col min="1" max="1" width="2.7109375" customWidth="1"/>
    <col min="2" max="2" width="31.5703125" customWidth="1"/>
    <col min="3" max="3" width="14.140625" style="4" hidden="1" customWidth="1"/>
    <col min="4" max="4" width="8.7109375" style="54" hidden="1" customWidth="1"/>
    <col min="5" max="5" width="8.85546875" style="54" hidden="1" customWidth="1"/>
    <col min="6" max="6" width="12.7109375" style="4" hidden="1" customWidth="1"/>
    <col min="7" max="7" width="16.28515625" style="4" customWidth="1"/>
    <col min="8" max="8" width="16.7109375" customWidth="1"/>
    <col min="9" max="9" width="1.7109375" style="54" customWidth="1"/>
    <col min="10" max="10" width="18" customWidth="1"/>
    <col min="11" max="11" width="1.5703125" customWidth="1"/>
    <col min="12" max="12" width="16.42578125" customWidth="1"/>
    <col min="13" max="13" width="1.140625" customWidth="1"/>
    <col min="14" max="14" width="16.7109375" customWidth="1"/>
    <col min="15" max="15" width="1.7109375" customWidth="1"/>
    <col min="16" max="16" width="16.28515625" customWidth="1"/>
    <col min="17" max="17" width="16.140625" customWidth="1"/>
    <col min="18" max="18" width="13.7109375" customWidth="1"/>
  </cols>
  <sheetData>
    <row r="1" spans="1:18" ht="15.75" thickBot="1" x14ac:dyDescent="0.3">
      <c r="H1" s="122"/>
      <c r="J1" s="122"/>
      <c r="K1" s="82"/>
      <c r="L1" s="82"/>
      <c r="N1" s="122"/>
      <c r="P1" s="122"/>
      <c r="Q1" s="122"/>
    </row>
    <row r="2" spans="1:18" ht="75" customHeight="1" thickTop="1" thickBot="1" x14ac:dyDescent="0.35">
      <c r="A2" s="124"/>
      <c r="B2" s="140" t="s">
        <v>36</v>
      </c>
      <c r="G2" s="129"/>
      <c r="H2" s="128">
        <v>442860</v>
      </c>
      <c r="I2" s="127"/>
      <c r="J2" s="126" t="s">
        <v>37</v>
      </c>
      <c r="K2" s="162"/>
      <c r="L2" s="181"/>
      <c r="M2" s="124"/>
      <c r="N2" s="125">
        <v>1250000</v>
      </c>
      <c r="O2" s="124"/>
      <c r="P2" s="123" t="s">
        <v>39</v>
      </c>
      <c r="Q2" s="160">
        <f>SUM(H2/N2)</f>
        <v>0.35428799999999999</v>
      </c>
      <c r="R2" s="119"/>
    </row>
    <row r="3" spans="1:18" ht="3" customHeight="1" thickTop="1" x14ac:dyDescent="0.25"/>
    <row r="4" spans="1:18" ht="15.75" customHeight="1" thickBot="1" x14ac:dyDescent="0.3">
      <c r="B4" s="122"/>
      <c r="C4" s="130"/>
      <c r="D4" s="131"/>
      <c r="E4" s="131"/>
      <c r="F4" s="130"/>
      <c r="G4" s="130"/>
      <c r="H4" s="122"/>
      <c r="J4" s="122"/>
    </row>
    <row r="5" spans="1:18" ht="46.5" thickTop="1" thickBot="1" x14ac:dyDescent="0.3">
      <c r="A5" s="124"/>
      <c r="B5" s="179" t="s">
        <v>44</v>
      </c>
      <c r="C5" s="133"/>
      <c r="D5" s="134"/>
      <c r="E5" s="134"/>
      <c r="F5" s="133"/>
      <c r="G5" s="136" t="s">
        <v>4</v>
      </c>
      <c r="H5" s="135" t="s">
        <v>5</v>
      </c>
      <c r="I5" s="163"/>
      <c r="J5" s="184" t="s">
        <v>47</v>
      </c>
      <c r="K5" s="112"/>
      <c r="L5" s="140" t="s">
        <v>31</v>
      </c>
    </row>
    <row r="6" spans="1:18" ht="22.5" customHeight="1" thickTop="1" thickBot="1" x14ac:dyDescent="0.3">
      <c r="A6" s="124"/>
      <c r="B6" s="138"/>
      <c r="C6" s="92"/>
      <c r="D6" s="91"/>
      <c r="E6" s="91"/>
      <c r="F6" s="92"/>
      <c r="G6" s="137">
        <f>SUM(H2-H6)</f>
        <v>221430</v>
      </c>
      <c r="H6" s="175">
        <f>SUM(H2*0.5)</f>
        <v>221430</v>
      </c>
      <c r="I6" s="164"/>
      <c r="J6" s="183">
        <f>SUM(H10-H6)</f>
        <v>1214.1499999999942</v>
      </c>
      <c r="K6" s="113"/>
      <c r="L6" s="166">
        <f>_xlfn.IFS(H2&lt;=300000,H2*0.005,H2&gt;400000,H2*0.015,H2&gt;300000,H2*0.045-12000)</f>
        <v>6642.9</v>
      </c>
      <c r="N6" s="170" t="s">
        <v>41</v>
      </c>
      <c r="O6" s="171"/>
      <c r="P6" s="171"/>
      <c r="Q6" s="171"/>
      <c r="R6" s="171"/>
    </row>
    <row r="7" spans="1:18" ht="22.5" customHeight="1" thickTop="1" thickBot="1" x14ac:dyDescent="0.3">
      <c r="A7" s="124"/>
      <c r="B7" s="139"/>
      <c r="C7" s="130"/>
      <c r="D7" s="131"/>
      <c r="E7" s="131"/>
      <c r="F7" s="130"/>
      <c r="G7" s="132">
        <f>SUM(G6/H2)</f>
        <v>0.5</v>
      </c>
      <c r="H7" s="178">
        <f>SUM(H6/H2)</f>
        <v>0.5</v>
      </c>
      <c r="I7" s="182"/>
      <c r="K7" s="161"/>
      <c r="L7" s="165">
        <f>SUM(L6/H2)</f>
        <v>1.4999999999999999E-2</v>
      </c>
      <c r="N7" s="173" t="s">
        <v>43</v>
      </c>
      <c r="O7" s="171"/>
      <c r="P7" s="171"/>
      <c r="Q7" s="171"/>
      <c r="R7" s="171"/>
    </row>
    <row r="8" spans="1:18" ht="20.25" thickTop="1" thickBot="1" x14ac:dyDescent="0.35">
      <c r="B8" s="143"/>
      <c r="C8" s="144"/>
      <c r="D8" s="145"/>
      <c r="E8" s="145"/>
      <c r="F8" s="144"/>
      <c r="G8" s="144"/>
      <c r="H8" s="146"/>
      <c r="I8" s="91"/>
      <c r="J8" s="122"/>
      <c r="K8" s="93"/>
      <c r="L8" s="167"/>
      <c r="N8" s="174" t="s">
        <v>42</v>
      </c>
      <c r="O8" s="171"/>
      <c r="P8" s="171"/>
      <c r="Q8" s="171"/>
      <c r="R8" s="171"/>
    </row>
    <row r="9" spans="1:18" ht="45.75" customHeight="1" thickTop="1" thickBot="1" x14ac:dyDescent="0.3">
      <c r="A9" s="124"/>
      <c r="B9" s="147" t="s">
        <v>45</v>
      </c>
      <c r="C9" s="141"/>
      <c r="D9" s="142"/>
      <c r="E9" s="142"/>
      <c r="F9" s="141"/>
      <c r="G9" s="148" t="s">
        <v>4</v>
      </c>
      <c r="H9" s="147" t="s">
        <v>33</v>
      </c>
      <c r="I9" s="163"/>
      <c r="J9" s="185" t="s">
        <v>48</v>
      </c>
      <c r="K9" s="112"/>
      <c r="L9" s="140" t="s">
        <v>32</v>
      </c>
      <c r="N9" s="121" t="s">
        <v>38</v>
      </c>
      <c r="O9" s="102"/>
      <c r="P9" s="109" t="s">
        <v>35</v>
      </c>
      <c r="Q9" s="172" t="s">
        <v>40</v>
      </c>
      <c r="R9" s="109" t="s">
        <v>34</v>
      </c>
    </row>
    <row r="10" spans="1:18" ht="22.5" customHeight="1" thickTop="1" thickBot="1" x14ac:dyDescent="0.3">
      <c r="A10" s="124"/>
      <c r="B10" s="124"/>
      <c r="C10" s="92"/>
      <c r="D10" s="91"/>
      <c r="E10" s="91"/>
      <c r="F10" s="92"/>
      <c r="G10" s="137">
        <f>SUM(H2-H10)</f>
        <v>220215.85</v>
      </c>
      <c r="H10" s="176">
        <f>Hide!A10</f>
        <v>222644.15</v>
      </c>
      <c r="I10" s="164"/>
      <c r="J10" s="183">
        <f>SUM(H22-H10)</f>
        <v>-1214.4899999999616</v>
      </c>
      <c r="K10" s="104"/>
      <c r="L10" s="168">
        <f>SUM(H2*0.01)</f>
        <v>4428.6000000000004</v>
      </c>
      <c r="N10" s="120">
        <f>SUM(L6-L10)</f>
        <v>2214.2999999999993</v>
      </c>
      <c r="O10" s="107"/>
      <c r="P10" s="108">
        <v>2400</v>
      </c>
      <c r="Q10" s="110">
        <f>_xlfn.IFS(N2&gt;=3000000,N2*-0.001,N2&gt;=2650000,N2*-0.0011,N2&gt;=2150000,N2*-0.0012,N2&gt;=1650000,N2*-0.0013,N2&lt;1650000,N2*-0.0014)</f>
        <v>-1750</v>
      </c>
      <c r="R10" s="108">
        <v>-2400</v>
      </c>
    </row>
    <row r="11" spans="1:18" ht="22.5" customHeight="1" thickTop="1" thickBot="1" x14ac:dyDescent="0.3">
      <c r="A11" s="124"/>
      <c r="B11" s="139"/>
      <c r="C11" s="130"/>
      <c r="D11" s="131"/>
      <c r="E11" s="131"/>
      <c r="F11" s="130"/>
      <c r="G11" s="149">
        <f>SUM(G10/H2)</f>
        <v>0.49725838865555705</v>
      </c>
      <c r="H11" s="177">
        <f>SUM(H10/H2)</f>
        <v>0.50274161134444295</v>
      </c>
      <c r="I11" s="182"/>
      <c r="K11" s="105"/>
      <c r="L11" s="169">
        <f>SUM(L10/H2)</f>
        <v>0.01</v>
      </c>
      <c r="M11" s="113"/>
      <c r="N11" s="113"/>
      <c r="O11" s="114"/>
      <c r="P11" s="115"/>
      <c r="Q11" s="113"/>
    </row>
    <row r="12" spans="1:18" ht="30.75" hidden="1" thickTop="1" x14ac:dyDescent="0.25">
      <c r="B12" s="94" t="s">
        <v>0</v>
      </c>
      <c r="C12" s="95" t="s">
        <v>1</v>
      </c>
      <c r="D12" s="96" t="s">
        <v>2</v>
      </c>
      <c r="E12" s="96" t="s">
        <v>3</v>
      </c>
      <c r="F12" s="95" t="s">
        <v>4</v>
      </c>
      <c r="G12" s="97" t="s">
        <v>5</v>
      </c>
      <c r="H12" s="82"/>
      <c r="I12" s="98"/>
      <c r="J12" s="82"/>
      <c r="K12" s="82"/>
      <c r="L12" s="82"/>
      <c r="M12" s="82"/>
      <c r="N12" s="82"/>
      <c r="O12" s="82"/>
      <c r="P12" s="82"/>
      <c r="Q12" s="116"/>
    </row>
    <row r="13" spans="1:18" ht="15.75" hidden="1" thickTop="1" x14ac:dyDescent="0.25">
      <c r="B13" s="72" t="s">
        <v>6</v>
      </c>
      <c r="C13" s="73">
        <v>150000</v>
      </c>
      <c r="D13" s="83">
        <v>0.48</v>
      </c>
      <c r="E13" s="84">
        <v>0.52</v>
      </c>
      <c r="F13" s="73">
        <f t="shared" ref="F13:F18" si="0">SUM(D13*C13)</f>
        <v>72000</v>
      </c>
      <c r="G13" s="85" t="s">
        <v>8</v>
      </c>
      <c r="H13" s="82"/>
      <c r="I13" s="98"/>
      <c r="J13" s="82"/>
      <c r="K13" s="82"/>
      <c r="L13" s="82"/>
      <c r="M13" s="82"/>
      <c r="N13" s="82"/>
      <c r="O13" s="82"/>
      <c r="P13" s="82"/>
      <c r="Q13" s="116"/>
    </row>
    <row r="14" spans="1:18" ht="15.75" hidden="1" thickTop="1" x14ac:dyDescent="0.25">
      <c r="B14" s="72" t="s">
        <v>7</v>
      </c>
      <c r="C14" s="73">
        <v>149999</v>
      </c>
      <c r="D14" s="83">
        <v>0.49</v>
      </c>
      <c r="E14" s="84">
        <v>0.51</v>
      </c>
      <c r="F14" s="73">
        <f t="shared" si="0"/>
        <v>73499.509999999995</v>
      </c>
      <c r="G14" s="85" t="s">
        <v>8</v>
      </c>
      <c r="H14" s="100"/>
      <c r="I14" s="98" t="s">
        <v>8</v>
      </c>
      <c r="J14" s="82"/>
      <c r="K14" s="82"/>
      <c r="L14" s="82"/>
      <c r="M14" s="82"/>
      <c r="N14" s="82"/>
      <c r="O14" s="82"/>
      <c r="P14" s="82"/>
      <c r="Q14" s="116"/>
    </row>
    <row r="15" spans="1:18" ht="15.75" hidden="1" thickTop="1" x14ac:dyDescent="0.25">
      <c r="B15" s="72" t="s">
        <v>9</v>
      </c>
      <c r="C15" s="73">
        <v>99999</v>
      </c>
      <c r="D15" s="83">
        <v>0.52</v>
      </c>
      <c r="E15" s="84">
        <v>0.48</v>
      </c>
      <c r="F15" s="73">
        <f t="shared" si="0"/>
        <v>51999.48</v>
      </c>
      <c r="G15" s="85" t="s">
        <v>8</v>
      </c>
      <c r="H15" s="99"/>
      <c r="I15" s="98"/>
      <c r="J15" s="82"/>
      <c r="K15" s="82"/>
      <c r="L15" s="82"/>
      <c r="M15" s="82"/>
      <c r="N15" s="82"/>
      <c r="O15" s="82"/>
      <c r="P15" s="82"/>
      <c r="Q15" s="116"/>
    </row>
    <row r="16" spans="1:18" ht="15.75" hidden="1" thickTop="1" x14ac:dyDescent="0.25">
      <c r="B16" s="72" t="s">
        <v>10</v>
      </c>
      <c r="C16" s="73">
        <v>99999</v>
      </c>
      <c r="D16" s="83">
        <v>0.53</v>
      </c>
      <c r="E16" s="84">
        <v>0.47</v>
      </c>
      <c r="F16" s="73">
        <f t="shared" si="0"/>
        <v>52999.47</v>
      </c>
      <c r="G16" s="85" t="s">
        <v>8</v>
      </c>
      <c r="H16" s="99"/>
      <c r="I16" s="98"/>
      <c r="J16" s="82"/>
      <c r="K16" s="82"/>
      <c r="L16" s="82"/>
      <c r="M16" s="82"/>
      <c r="N16" s="82"/>
      <c r="O16" s="82"/>
      <c r="P16" s="82"/>
      <c r="Q16" s="116"/>
    </row>
    <row r="17" spans="2:17" ht="15.75" hidden="1" thickTop="1" x14ac:dyDescent="0.25">
      <c r="B17" s="72" t="s">
        <v>11</v>
      </c>
      <c r="C17" s="73">
        <v>249999</v>
      </c>
      <c r="D17" s="83">
        <v>0.55000000000000004</v>
      </c>
      <c r="E17" s="84">
        <v>0.45</v>
      </c>
      <c r="F17" s="73">
        <f t="shared" si="0"/>
        <v>137499.45000000001</v>
      </c>
      <c r="G17" s="85" t="s">
        <v>8</v>
      </c>
      <c r="H17" s="99"/>
      <c r="I17" s="91"/>
      <c r="J17" s="82"/>
      <c r="K17" s="82"/>
      <c r="L17" s="82"/>
      <c r="M17" s="82"/>
      <c r="N17" s="82"/>
      <c r="O17" s="82"/>
      <c r="P17" s="82"/>
      <c r="Q17" s="116"/>
    </row>
    <row r="18" spans="2:17" ht="15.75" hidden="1" thickTop="1" x14ac:dyDescent="0.25">
      <c r="B18" s="72" t="s">
        <v>12</v>
      </c>
      <c r="C18" s="73">
        <v>249999</v>
      </c>
      <c r="D18" s="83">
        <v>0.56000000000000005</v>
      </c>
      <c r="E18" s="84">
        <v>0.44</v>
      </c>
      <c r="F18" s="73">
        <f t="shared" si="0"/>
        <v>139999.44</v>
      </c>
      <c r="G18" s="85" t="s">
        <v>8</v>
      </c>
      <c r="H18" s="99"/>
      <c r="I18" s="91"/>
      <c r="J18" s="82"/>
      <c r="K18" s="82"/>
      <c r="L18" s="82"/>
      <c r="M18" s="82"/>
      <c r="N18" s="82"/>
      <c r="O18" s="82"/>
      <c r="P18" s="82"/>
      <c r="Q18" s="116"/>
    </row>
    <row r="19" spans="2:17" ht="15.75" hidden="1" thickTop="1" x14ac:dyDescent="0.25">
      <c r="B19" s="72" t="s">
        <v>13</v>
      </c>
      <c r="C19" s="73"/>
      <c r="D19" s="74">
        <v>0.56999999999999995</v>
      </c>
      <c r="E19" s="86">
        <v>0.43</v>
      </c>
      <c r="F19" s="73"/>
      <c r="G19" s="85"/>
      <c r="H19" s="72"/>
      <c r="I19" s="91"/>
      <c r="J19" s="82"/>
      <c r="K19" s="82"/>
      <c r="L19" s="82"/>
      <c r="M19" s="82"/>
      <c r="N19" s="82"/>
      <c r="O19" s="82"/>
      <c r="P19" s="82"/>
      <c r="Q19" s="116"/>
    </row>
    <row r="20" spans="2:17" ht="15.75" customHeight="1" thickTop="1" thickBot="1" x14ac:dyDescent="0.3">
      <c r="B20" s="72"/>
      <c r="C20" s="73"/>
      <c r="D20" s="74"/>
      <c r="E20" s="75"/>
      <c r="F20" s="76"/>
      <c r="G20" s="76"/>
      <c r="H20" s="72"/>
      <c r="I20" s="91"/>
      <c r="J20" s="117"/>
      <c r="K20" s="117"/>
      <c r="L20" s="117"/>
      <c r="M20" s="104"/>
      <c r="N20" s="104"/>
      <c r="O20" s="82"/>
      <c r="P20" s="117"/>
      <c r="Q20" s="104"/>
    </row>
    <row r="21" spans="2:17" ht="60.75" customHeight="1" thickTop="1" x14ac:dyDescent="0.25">
      <c r="B21" s="180" t="s">
        <v>46</v>
      </c>
      <c r="C21" s="150"/>
      <c r="D21" s="151"/>
      <c r="E21" s="151"/>
      <c r="F21" s="150"/>
      <c r="G21" s="155" t="s">
        <v>4</v>
      </c>
      <c r="H21" s="152" t="s">
        <v>5</v>
      </c>
      <c r="I21" s="98"/>
      <c r="K21" s="118"/>
      <c r="L21" s="118"/>
      <c r="O21" s="82"/>
      <c r="P21" s="118"/>
      <c r="Q21" s="113"/>
    </row>
    <row r="22" spans="2:17" ht="22.5" customHeight="1" x14ac:dyDescent="0.25">
      <c r="B22" s="158"/>
      <c r="C22" s="73"/>
      <c r="D22" s="101"/>
      <c r="E22" s="101"/>
      <c r="F22" s="73"/>
      <c r="G22" s="156">
        <f>SUM(H2-H22)</f>
        <v>221430.33999999997</v>
      </c>
      <c r="H22" s="176">
        <f>Hide!A24</f>
        <v>221429.66000000003</v>
      </c>
      <c r="I22" s="103"/>
      <c r="K22" s="104"/>
      <c r="L22" s="104"/>
      <c r="O22" s="106"/>
    </row>
    <row r="23" spans="2:17" ht="22.5" customHeight="1" thickBot="1" x14ac:dyDescent="0.3">
      <c r="B23" s="159"/>
      <c r="C23" s="153"/>
      <c r="D23" s="154"/>
      <c r="E23" s="154"/>
      <c r="F23" s="153"/>
      <c r="G23" s="157">
        <f>SUM(G22/H2)</f>
        <v>0.50000076773698232</v>
      </c>
      <c r="H23" s="177">
        <f>SUM(H22/H2)</f>
        <v>0.49999923226301773</v>
      </c>
      <c r="I23" s="103"/>
      <c r="J23" s="105"/>
      <c r="K23" s="105"/>
      <c r="L23" s="105"/>
      <c r="M23" s="105"/>
      <c r="N23" s="106"/>
      <c r="O23" s="106"/>
      <c r="Q23" s="111" t="s">
        <v>8</v>
      </c>
    </row>
    <row r="24" spans="2:17" ht="31.5" hidden="1" thickTop="1" thickBot="1" x14ac:dyDescent="0.3">
      <c r="B24" s="87" t="s">
        <v>14</v>
      </c>
      <c r="C24" s="88" t="s">
        <v>1</v>
      </c>
      <c r="D24" s="89" t="s">
        <v>2</v>
      </c>
      <c r="E24" s="89" t="s">
        <v>3</v>
      </c>
      <c r="F24" s="88" t="s">
        <v>4</v>
      </c>
      <c r="G24" s="90" t="s">
        <v>5</v>
      </c>
      <c r="I24" s="3"/>
    </row>
    <row r="25" spans="2:17" ht="15.75" hidden="1" thickTop="1" x14ac:dyDescent="0.25">
      <c r="B25" s="61" t="s">
        <v>15</v>
      </c>
      <c r="C25" s="62">
        <v>200000</v>
      </c>
      <c r="D25" s="77">
        <v>0.45</v>
      </c>
      <c r="E25" s="78">
        <v>0.55000000000000004</v>
      </c>
      <c r="F25" s="62">
        <f t="shared" ref="F25:F34" si="1">SUM(C25*D25)</f>
        <v>90000</v>
      </c>
      <c r="G25" s="63">
        <f t="shared" ref="G25:G34" si="2">SUM(C25-F25)</f>
        <v>110000</v>
      </c>
      <c r="I25" s="55"/>
    </row>
    <row r="26" spans="2:17" ht="15.75" hidden="1" thickTop="1" x14ac:dyDescent="0.25">
      <c r="B26" s="64" t="s">
        <v>16</v>
      </c>
      <c r="C26" s="65">
        <v>49999</v>
      </c>
      <c r="D26" s="79">
        <v>0.49</v>
      </c>
      <c r="E26" s="80">
        <v>0.51</v>
      </c>
      <c r="F26" s="65">
        <f t="shared" si="1"/>
        <v>24499.51</v>
      </c>
      <c r="G26" s="66">
        <f t="shared" si="2"/>
        <v>25499.49</v>
      </c>
      <c r="H26" s="60"/>
      <c r="I26" s="55"/>
    </row>
    <row r="27" spans="2:17" ht="15.75" hidden="1" thickTop="1" x14ac:dyDescent="0.25">
      <c r="B27" s="64" t="s">
        <v>17</v>
      </c>
      <c r="C27" s="65">
        <v>49999</v>
      </c>
      <c r="D27" s="79">
        <v>0.54</v>
      </c>
      <c r="E27" s="80">
        <v>0.46</v>
      </c>
      <c r="F27" s="65">
        <f t="shared" si="1"/>
        <v>26999.460000000003</v>
      </c>
      <c r="G27" s="66">
        <f t="shared" si="2"/>
        <v>22999.539999999997</v>
      </c>
      <c r="H27" s="60"/>
      <c r="I27" s="2"/>
    </row>
    <row r="28" spans="2:17" ht="15.75" hidden="1" thickTop="1" x14ac:dyDescent="0.25">
      <c r="B28" s="64" t="s">
        <v>22</v>
      </c>
      <c r="C28" s="65">
        <v>49999</v>
      </c>
      <c r="D28" s="79">
        <v>0.55000000000000004</v>
      </c>
      <c r="E28" s="80">
        <v>0.45</v>
      </c>
      <c r="F28" s="65">
        <f t="shared" si="1"/>
        <v>27499.45</v>
      </c>
      <c r="G28" s="66">
        <f t="shared" si="2"/>
        <v>22499.55</v>
      </c>
      <c r="H28" s="60"/>
      <c r="I28" s="2"/>
    </row>
    <row r="29" spans="2:17" ht="15.75" hidden="1" thickTop="1" x14ac:dyDescent="0.25">
      <c r="B29" s="64" t="s">
        <v>23</v>
      </c>
      <c r="C29" s="65">
        <v>49999</v>
      </c>
      <c r="D29" s="79">
        <v>0.56000000000000005</v>
      </c>
      <c r="E29" s="80">
        <v>0.44</v>
      </c>
      <c r="F29" s="65">
        <f t="shared" si="1"/>
        <v>27999.440000000002</v>
      </c>
      <c r="G29" s="66">
        <f t="shared" si="2"/>
        <v>21999.559999999998</v>
      </c>
      <c r="H29" s="60"/>
      <c r="I29" s="2"/>
    </row>
    <row r="30" spans="2:17" ht="15.75" hidden="1" thickTop="1" x14ac:dyDescent="0.25">
      <c r="B30" s="64" t="s">
        <v>24</v>
      </c>
      <c r="C30" s="65">
        <v>49999</v>
      </c>
      <c r="D30" s="79">
        <v>0.56999999999999995</v>
      </c>
      <c r="E30" s="80">
        <v>0.43</v>
      </c>
      <c r="F30" s="65">
        <f t="shared" si="1"/>
        <v>28499.429999999997</v>
      </c>
      <c r="G30" s="66">
        <f t="shared" si="2"/>
        <v>21499.570000000003</v>
      </c>
      <c r="H30" s="60"/>
      <c r="I30" s="2"/>
    </row>
    <row r="31" spans="2:17" ht="15.75" hidden="1" thickTop="1" x14ac:dyDescent="0.25">
      <c r="B31" s="64" t="s">
        <v>25</v>
      </c>
      <c r="C31" s="65">
        <v>199999</v>
      </c>
      <c r="D31" s="79">
        <v>0.57999999999999996</v>
      </c>
      <c r="E31" s="80">
        <v>0.42</v>
      </c>
      <c r="F31" s="65">
        <f t="shared" si="1"/>
        <v>115999.42</v>
      </c>
      <c r="G31" s="66">
        <f t="shared" si="2"/>
        <v>83999.58</v>
      </c>
      <c r="H31" s="60"/>
      <c r="I31" s="2"/>
    </row>
    <row r="32" spans="2:17" ht="15.75" hidden="1" thickTop="1" x14ac:dyDescent="0.25">
      <c r="B32" s="64" t="s">
        <v>26</v>
      </c>
      <c r="C32" s="65">
        <v>249999</v>
      </c>
      <c r="D32" s="79">
        <v>0.59</v>
      </c>
      <c r="E32" s="80">
        <v>0.41</v>
      </c>
      <c r="F32" s="65">
        <f t="shared" si="1"/>
        <v>147499.41</v>
      </c>
      <c r="G32" s="66">
        <f t="shared" si="2"/>
        <v>102499.59</v>
      </c>
      <c r="H32" s="60"/>
      <c r="I32" s="2"/>
    </row>
    <row r="33" spans="2:9" ht="15.75" hidden="1" thickTop="1" x14ac:dyDescent="0.25">
      <c r="B33" s="64" t="s">
        <v>27</v>
      </c>
      <c r="C33" s="65">
        <v>499999</v>
      </c>
      <c r="D33" s="79">
        <v>0.57999999999999996</v>
      </c>
      <c r="E33" s="80">
        <v>0.42</v>
      </c>
      <c r="F33" s="65">
        <f t="shared" si="1"/>
        <v>289999.42</v>
      </c>
      <c r="G33" s="66">
        <f t="shared" si="2"/>
        <v>209999.58000000002</v>
      </c>
      <c r="H33" s="60"/>
      <c r="I33" s="2"/>
    </row>
    <row r="34" spans="2:9" ht="15.75" hidden="1" thickTop="1" x14ac:dyDescent="0.25">
      <c r="B34" s="81" t="s">
        <v>28</v>
      </c>
      <c r="C34" s="65">
        <v>199999</v>
      </c>
      <c r="D34" s="79">
        <v>0.56999999999999995</v>
      </c>
      <c r="E34" s="80">
        <v>0.43</v>
      </c>
      <c r="F34" s="65">
        <f t="shared" si="1"/>
        <v>113999.43</v>
      </c>
      <c r="G34" s="66">
        <f t="shared" si="2"/>
        <v>85999.57</v>
      </c>
      <c r="H34" s="60"/>
      <c r="I34" s="2"/>
    </row>
    <row r="35" spans="2:9" ht="16.5" hidden="1" thickTop="1" thickBot="1" x14ac:dyDescent="0.3">
      <c r="B35" s="67" t="s">
        <v>29</v>
      </c>
      <c r="C35" s="68"/>
      <c r="D35" s="69">
        <v>0.56000000000000005</v>
      </c>
      <c r="E35" s="70">
        <v>0.44</v>
      </c>
      <c r="F35" s="68" t="s">
        <v>8</v>
      </c>
      <c r="G35" s="71"/>
      <c r="H35" s="60"/>
      <c r="I35" s="2"/>
    </row>
    <row r="36" spans="2:9" ht="15.75" thickTop="1" x14ac:dyDescent="0.25">
      <c r="B36" s="1"/>
      <c r="D36" s="2"/>
      <c r="E36" s="2"/>
      <c r="H36" s="1"/>
      <c r="I36" s="2"/>
    </row>
    <row r="37" spans="2:9" ht="16.5" hidden="1" thickBot="1" x14ac:dyDescent="0.3">
      <c r="B37" s="5" t="s">
        <v>18</v>
      </c>
      <c r="C37" s="6"/>
      <c r="D37" s="7"/>
      <c r="E37" s="7"/>
      <c r="F37" s="8"/>
      <c r="G37" s="9" t="s">
        <v>19</v>
      </c>
      <c r="H37" s="10"/>
      <c r="I37" s="11"/>
    </row>
    <row r="38" spans="2:9" ht="63.75" hidden="1" thickBot="1" x14ac:dyDescent="0.3">
      <c r="B38" s="12" t="s">
        <v>4</v>
      </c>
      <c r="C38" s="13" t="s">
        <v>20</v>
      </c>
      <c r="D38" s="14" t="s">
        <v>2</v>
      </c>
      <c r="E38" s="14" t="s">
        <v>3</v>
      </c>
      <c r="F38" s="15" t="s">
        <v>21</v>
      </c>
      <c r="G38" s="16" t="s">
        <v>4</v>
      </c>
      <c r="H38" s="17"/>
      <c r="I38" s="18" t="s">
        <v>3</v>
      </c>
    </row>
    <row r="39" spans="2:9" ht="15.75" hidden="1" x14ac:dyDescent="0.25">
      <c r="B39" s="19" t="e">
        <f>SUM(#REF!*0.48)</f>
        <v>#REF!</v>
      </c>
      <c r="C39" s="19" t="e">
        <f>SUM(#REF!-B39)</f>
        <v>#REF!</v>
      </c>
      <c r="D39" s="20" t="e">
        <f>SUM(B39/#REF!)</f>
        <v>#REF!</v>
      </c>
      <c r="E39" s="21" t="e">
        <f>SUM(C39/#REF!)</f>
        <v>#REF!</v>
      </c>
      <c r="F39" s="22" t="e">
        <f>SUM(E39-0.005)</f>
        <v>#REF!</v>
      </c>
      <c r="G39" s="23" t="e">
        <f>SUM(#REF!*0.45)</f>
        <v>#REF!</v>
      </c>
      <c r="H39" s="24"/>
      <c r="I39" s="21" t="e">
        <f>SUM(#REF!/#REF!)</f>
        <v>#REF!</v>
      </c>
    </row>
    <row r="40" spans="2:9" ht="15.75" hidden="1" x14ac:dyDescent="0.25">
      <c r="B40" s="25" t="e">
        <f>SUM(50000*0.49+B39)</f>
        <v>#REF!</v>
      </c>
      <c r="C40" s="26" t="e">
        <f>SUM(#REF!-B40)</f>
        <v>#REF!</v>
      </c>
      <c r="D40" s="27" t="e">
        <f>SUM(B40/#REF!)</f>
        <v>#REF!</v>
      </c>
      <c r="E40" s="28" t="e">
        <f>SUM(C40/#REF!)</f>
        <v>#REF!</v>
      </c>
      <c r="F40" s="22" t="e">
        <f>SUM(E40-0.005)</f>
        <v>#REF!</v>
      </c>
      <c r="G40" s="29" t="e">
        <f>SUM(#REF!*0.45)</f>
        <v>#REF!</v>
      </c>
      <c r="H40" s="30"/>
      <c r="I40" s="28" t="e">
        <f>SUM(#REF!/#REF!)</f>
        <v>#REF!</v>
      </c>
    </row>
    <row r="41" spans="2:9" ht="15.75" hidden="1" x14ac:dyDescent="0.25">
      <c r="B41" s="25" t="e">
        <f>SUM(50000*0.49+B40)</f>
        <v>#REF!</v>
      </c>
      <c r="C41" s="26" t="e">
        <f>SUM(#REF!-B41)</f>
        <v>#REF!</v>
      </c>
      <c r="D41" s="27" t="e">
        <f>SUM(B41/#REF!)</f>
        <v>#REF!</v>
      </c>
      <c r="E41" s="28" t="e">
        <f>SUM(C41/#REF!)</f>
        <v>#REF!</v>
      </c>
      <c r="F41" s="22" t="e">
        <f>SUM(E41-0.005)</f>
        <v>#REF!</v>
      </c>
      <c r="G41" s="29" t="e">
        <f>SUM(50000*0.48+G40)</f>
        <v>#REF!</v>
      </c>
      <c r="H41" s="30"/>
      <c r="I41" s="28" t="e">
        <f>SUM(#REF!/#REF!)</f>
        <v>#REF!</v>
      </c>
    </row>
    <row r="42" spans="2:9" ht="15.75" hidden="1" x14ac:dyDescent="0.25">
      <c r="B42" s="25" t="e">
        <f>SUM(150000*0.49+B39)</f>
        <v>#REF!</v>
      </c>
      <c r="C42" s="26" t="e">
        <f>SUM(#REF!-B42)</f>
        <v>#REF!</v>
      </c>
      <c r="D42" s="27" t="e">
        <f>SUM(B42/#REF!)</f>
        <v>#REF!</v>
      </c>
      <c r="E42" s="28" t="e">
        <f>SUM(C42/#REF!)</f>
        <v>#REF!</v>
      </c>
      <c r="F42" s="22" t="e">
        <f>SUM(E42-0.0075)</f>
        <v>#REF!</v>
      </c>
      <c r="G42" s="29" t="e">
        <f>SUM(50000*0.54+G41)</f>
        <v>#REF!</v>
      </c>
      <c r="H42" s="30"/>
      <c r="I42" s="28" t="e">
        <f>SUM(#REF!/#REF!)</f>
        <v>#REF!</v>
      </c>
    </row>
    <row r="43" spans="2:9" ht="15.75" hidden="1" x14ac:dyDescent="0.25">
      <c r="B43" s="25" t="e">
        <f>SUM(50000*0.52+B42)</f>
        <v>#REF!</v>
      </c>
      <c r="C43" s="26" t="e">
        <f>SUM(#REF!-B43)</f>
        <v>#REF!</v>
      </c>
      <c r="D43" s="27" t="e">
        <f>SUM(B43/#REF!)</f>
        <v>#REF!</v>
      </c>
      <c r="E43" s="28" t="e">
        <f>SUM(C43/#REF!)</f>
        <v>#REF!</v>
      </c>
      <c r="F43" s="22" t="e">
        <f>SUM(E43-0.0125)</f>
        <v>#REF!</v>
      </c>
      <c r="G43" s="29" t="e">
        <f>SUM(50000*0.55+G42)</f>
        <v>#REF!</v>
      </c>
      <c r="H43" s="30"/>
      <c r="I43" s="28" t="e">
        <f>SUM(#REF!/#REF!)</f>
        <v>#REF!</v>
      </c>
    </row>
    <row r="44" spans="2:9" ht="15.75" hidden="1" x14ac:dyDescent="0.25">
      <c r="B44" s="25" t="e">
        <f>SUM(100000*0.52+B42)</f>
        <v>#REF!</v>
      </c>
      <c r="C44" s="26" t="e">
        <f>SUM(#REF!-B44)</f>
        <v>#REF!</v>
      </c>
      <c r="D44" s="27" t="e">
        <f>SUM(B44/#REF!)</f>
        <v>#REF!</v>
      </c>
      <c r="E44" s="28" t="e">
        <f>SUM(C44/#REF!)</f>
        <v>#REF!</v>
      </c>
      <c r="F44" s="22" t="e">
        <f t="shared" ref="F44:F58" si="3">SUM(E44-0.015)</f>
        <v>#REF!</v>
      </c>
      <c r="G44" s="29" t="e">
        <f>SUM(50000*0.56+G43)</f>
        <v>#REF!</v>
      </c>
      <c r="H44" s="30"/>
      <c r="I44" s="28" t="e">
        <f>SUM(#REF!/#REF!)</f>
        <v>#REF!</v>
      </c>
    </row>
    <row r="45" spans="2:9" ht="16.5" hidden="1" thickBot="1" x14ac:dyDescent="0.3">
      <c r="B45" s="31" t="e">
        <f>SUM(50000*0.53+B44)</f>
        <v>#REF!</v>
      </c>
      <c r="C45" s="32" t="e">
        <f>SUM(#REF!-B45)</f>
        <v>#REF!</v>
      </c>
      <c r="D45" s="33" t="e">
        <f>SUM(B45/#REF!)</f>
        <v>#REF!</v>
      </c>
      <c r="E45" s="34" t="e">
        <f>SUM(C45/#REF!)</f>
        <v>#REF!</v>
      </c>
      <c r="F45" s="35" t="e">
        <f t="shared" si="3"/>
        <v>#REF!</v>
      </c>
      <c r="G45" s="36" t="e">
        <f>SUM(50000*0.57+G44)</f>
        <v>#REF!</v>
      </c>
      <c r="H45" s="37"/>
      <c r="I45" s="34" t="e">
        <f>SUM(#REF!/#REF!)</f>
        <v>#REF!</v>
      </c>
    </row>
    <row r="46" spans="2:9" ht="15.75" hidden="1" x14ac:dyDescent="0.25">
      <c r="B46" s="38" t="e">
        <f>SUM(100000*0.53+B44)</f>
        <v>#REF!</v>
      </c>
      <c r="C46" s="39" t="e">
        <f>SUM(#REF!-B46)</f>
        <v>#REF!</v>
      </c>
      <c r="D46" s="40" t="e">
        <f>SUM(B46/#REF!)</f>
        <v>#REF!</v>
      </c>
      <c r="E46" s="21" t="e">
        <f>SUM(C46/#REF!)</f>
        <v>#REF!</v>
      </c>
      <c r="F46" s="22" t="e">
        <f t="shared" si="3"/>
        <v>#REF!</v>
      </c>
      <c r="G46" s="41" t="e">
        <f>SUM(50000*0.58+G45)</f>
        <v>#REF!</v>
      </c>
      <c r="H46" s="24"/>
      <c r="I46" s="21" t="e">
        <f>SUM(#REF!/#REF!)</f>
        <v>#REF!</v>
      </c>
    </row>
    <row r="47" spans="2:9" ht="15.75" hidden="1" x14ac:dyDescent="0.25">
      <c r="B47" s="42" t="e">
        <f>SUM(50000*0.55+B46)</f>
        <v>#REF!</v>
      </c>
      <c r="C47" s="43" t="e">
        <f>SUM(#REF!-B47)</f>
        <v>#REF!</v>
      </c>
      <c r="D47" s="44" t="e">
        <f>SUM(B47/#REF!)</f>
        <v>#REF!</v>
      </c>
      <c r="E47" s="28" t="e">
        <f>SUM(C47/#REF!)</f>
        <v>#REF!</v>
      </c>
      <c r="F47" s="22" t="e">
        <f t="shared" si="3"/>
        <v>#REF!</v>
      </c>
      <c r="G47" s="45" t="e">
        <f>SUM(50000*0.58+G46)</f>
        <v>#REF!</v>
      </c>
      <c r="H47" s="30"/>
      <c r="I47" s="28" t="e">
        <f>SUM(#REF!/#REF!)</f>
        <v>#REF!</v>
      </c>
    </row>
    <row r="48" spans="2:9" ht="15.75" hidden="1" x14ac:dyDescent="0.25">
      <c r="B48" s="42" t="e">
        <f>SUM(50000*0.55+B47)</f>
        <v>#REF!</v>
      </c>
      <c r="C48" s="43" t="e">
        <f>SUM(#REF!-B48)</f>
        <v>#REF!</v>
      </c>
      <c r="D48" s="44" t="e">
        <f>SUM(B48/#REF!)</f>
        <v>#REF!</v>
      </c>
      <c r="E48" s="28" t="e">
        <f>SUM(C48/#REF!)</f>
        <v>#REF!</v>
      </c>
      <c r="F48" s="22" t="e">
        <f t="shared" si="3"/>
        <v>#REF!</v>
      </c>
      <c r="G48" s="45" t="e">
        <f>SUM(50000*0.58+G47)</f>
        <v>#REF!</v>
      </c>
      <c r="H48" s="30"/>
      <c r="I48" s="28" t="e">
        <f>SUM(#REF!/#REF!)</f>
        <v>#REF!</v>
      </c>
    </row>
    <row r="49" spans="2:9" ht="15.75" hidden="1" x14ac:dyDescent="0.25">
      <c r="B49" s="42" t="e">
        <f>SUM(50000*0.55+B48)</f>
        <v>#REF!</v>
      </c>
      <c r="C49" s="43" t="e">
        <f>SUM(#REF!-B49)</f>
        <v>#REF!</v>
      </c>
      <c r="D49" s="44" t="e">
        <f>SUM(B49/#REF!)</f>
        <v>#REF!</v>
      </c>
      <c r="E49" s="28" t="e">
        <f>SUM(C49/#REF!)</f>
        <v>#REF!</v>
      </c>
      <c r="F49" s="22" t="e">
        <f t="shared" si="3"/>
        <v>#REF!</v>
      </c>
      <c r="G49" s="45" t="e">
        <f>SUM(50000*0.58+G48)</f>
        <v>#REF!</v>
      </c>
      <c r="H49" s="30"/>
      <c r="I49" s="28" t="e">
        <f>SUM(#REF!/#REF!)</f>
        <v>#REF!</v>
      </c>
    </row>
    <row r="50" spans="2:9" ht="15.75" hidden="1" x14ac:dyDescent="0.25">
      <c r="B50" s="42" t="e">
        <f>SUM(50000*0.55+B49)</f>
        <v>#REF!</v>
      </c>
      <c r="C50" s="43" t="e">
        <f>SUM(#REF!-B50)</f>
        <v>#REF!</v>
      </c>
      <c r="D50" s="44" t="e">
        <f>SUM(B50/#REF!)</f>
        <v>#REF!</v>
      </c>
      <c r="E50" s="28" t="e">
        <f>SUM(C50/#REF!)</f>
        <v>#REF!</v>
      </c>
      <c r="F50" s="22" t="e">
        <f t="shared" si="3"/>
        <v>#REF!</v>
      </c>
      <c r="G50" s="45" t="e">
        <f>SUM(50000*0.59+G49)</f>
        <v>#REF!</v>
      </c>
      <c r="H50" s="30"/>
      <c r="I50" s="28" t="e">
        <f>SUM(#REF!/#REF!)</f>
        <v>#REF!</v>
      </c>
    </row>
    <row r="51" spans="2:9" ht="15.75" hidden="1" x14ac:dyDescent="0.25">
      <c r="B51" s="42" t="e">
        <f>SUM(50000*0.55+B50)</f>
        <v>#REF!</v>
      </c>
      <c r="C51" s="43" t="e">
        <f>SUM(#REF!-B51)</f>
        <v>#REF!</v>
      </c>
      <c r="D51" s="44" t="e">
        <f>SUM(B51/#REF!)</f>
        <v>#REF!</v>
      </c>
      <c r="E51" s="28" t="e">
        <f>SUM(C51/#REF!)</f>
        <v>#REF!</v>
      </c>
      <c r="F51" s="22" t="e">
        <f t="shared" si="3"/>
        <v>#REF!</v>
      </c>
      <c r="G51" s="45" t="e">
        <f>SUM(50000*0.59+G50)</f>
        <v>#REF!</v>
      </c>
      <c r="H51" s="30"/>
      <c r="I51" s="28" t="e">
        <f>SUM(#REF!/#REF!)</f>
        <v>#REF!</v>
      </c>
    </row>
    <row r="52" spans="2:9" ht="15.75" hidden="1" x14ac:dyDescent="0.25">
      <c r="B52" s="42" t="e">
        <f>SUM(50000*0.56+B51)</f>
        <v>#REF!</v>
      </c>
      <c r="C52" s="43" t="e">
        <f>SUM(#REF!-B52)</f>
        <v>#REF!</v>
      </c>
      <c r="D52" s="44" t="e">
        <f>SUM(B52/#REF!)</f>
        <v>#REF!</v>
      </c>
      <c r="E52" s="28" t="e">
        <f>SUM(C52/#REF!)</f>
        <v>#REF!</v>
      </c>
      <c r="F52" s="22" t="e">
        <f t="shared" si="3"/>
        <v>#REF!</v>
      </c>
      <c r="G52" s="45" t="e">
        <f>SUM(50000*0.59+G51)</f>
        <v>#REF!</v>
      </c>
      <c r="H52" s="30"/>
      <c r="I52" s="28" t="e">
        <f>SUM(#REF!/#REF!)</f>
        <v>#REF!</v>
      </c>
    </row>
    <row r="53" spans="2:9" ht="15.75" hidden="1" x14ac:dyDescent="0.25">
      <c r="B53" s="42" t="e">
        <f>SUM(50000*0.56+B52)</f>
        <v>#REF!</v>
      </c>
      <c r="C53" s="43" t="e">
        <f>SUM(#REF!-B53)</f>
        <v>#REF!</v>
      </c>
      <c r="D53" s="44" t="e">
        <f>SUM(B53/#REF!)</f>
        <v>#REF!</v>
      </c>
      <c r="E53" s="28" t="e">
        <f>SUM(C53/#REF!)</f>
        <v>#REF!</v>
      </c>
      <c r="F53" s="22" t="e">
        <f t="shared" si="3"/>
        <v>#REF!</v>
      </c>
      <c r="G53" s="45" t="e">
        <f>SUM(50000*0.59+G52)</f>
        <v>#REF!</v>
      </c>
      <c r="H53" s="30"/>
      <c r="I53" s="28" t="e">
        <f>SUM(#REF!/#REF!)</f>
        <v>#REF!</v>
      </c>
    </row>
    <row r="54" spans="2:9" ht="15.75" hidden="1" x14ac:dyDescent="0.25">
      <c r="B54" s="42" t="e">
        <f>SUM(50000*0.56+B53)</f>
        <v>#REF!</v>
      </c>
      <c r="C54" s="43" t="e">
        <f>SUM(#REF!-B54)</f>
        <v>#REF!</v>
      </c>
      <c r="D54" s="44" t="e">
        <f>SUM(B54/#REF!)</f>
        <v>#REF!</v>
      </c>
      <c r="E54" s="28" t="e">
        <f>SUM(C54/#REF!)</f>
        <v>#REF!</v>
      </c>
      <c r="F54" s="22" t="e">
        <f t="shared" si="3"/>
        <v>#REF!</v>
      </c>
      <c r="G54" s="45" t="e">
        <f>SUM(50000*0.59+G53)</f>
        <v>#REF!</v>
      </c>
      <c r="H54" s="30"/>
      <c r="I54" s="28" t="e">
        <f>SUM(#REF!/#REF!)</f>
        <v>#REF!</v>
      </c>
    </row>
    <row r="55" spans="2:9" ht="15.75" hidden="1" x14ac:dyDescent="0.25">
      <c r="B55" s="42" t="e">
        <f>SUM(50000*0.56+B54)</f>
        <v>#REF!</v>
      </c>
      <c r="C55" s="43" t="e">
        <f>SUM(#REF!-B55)</f>
        <v>#REF!</v>
      </c>
      <c r="D55" s="44" t="e">
        <f>SUM(B55/#REF!)</f>
        <v>#REF!</v>
      </c>
      <c r="E55" s="28" t="e">
        <f>SUM(C55/#REF!)</f>
        <v>#REF!</v>
      </c>
      <c r="F55" s="22" t="e">
        <f t="shared" si="3"/>
        <v>#REF!</v>
      </c>
      <c r="G55" s="45" t="e">
        <f>SUM(50000*0.58+G54)</f>
        <v>#REF!</v>
      </c>
      <c r="H55" s="30"/>
      <c r="I55" s="28" t="e">
        <f>SUM(#REF!/#REF!)</f>
        <v>#REF!</v>
      </c>
    </row>
    <row r="56" spans="2:9" ht="15.75" hidden="1" x14ac:dyDescent="0.25">
      <c r="B56" s="42" t="e">
        <f>SUM(50000*0.56+B55)</f>
        <v>#REF!</v>
      </c>
      <c r="C56" s="43" t="e">
        <f>SUM(#REF!-B56)</f>
        <v>#REF!</v>
      </c>
      <c r="D56" s="44" t="e">
        <f>SUM(B56/#REF!)</f>
        <v>#REF!</v>
      </c>
      <c r="E56" s="28" t="e">
        <f>SUM(C56/#REF!)</f>
        <v>#REF!</v>
      </c>
      <c r="F56" s="22" t="e">
        <f t="shared" si="3"/>
        <v>#REF!</v>
      </c>
      <c r="G56" s="45" t="e">
        <f>SUM(50000*0.58+G55)</f>
        <v>#REF!</v>
      </c>
      <c r="H56" s="30"/>
      <c r="I56" s="28" t="e">
        <f>SUM(#REF!/#REF!)</f>
        <v>#REF!</v>
      </c>
    </row>
    <row r="57" spans="2:9" ht="15.75" hidden="1" x14ac:dyDescent="0.25">
      <c r="B57" s="42" t="e">
        <f t="shared" ref="B57:B63" si="4">SUM(100000*0.57+B56)</f>
        <v>#REF!</v>
      </c>
      <c r="C57" s="43" t="e">
        <f>SUM(#REF!-B57)</f>
        <v>#REF!</v>
      </c>
      <c r="D57" s="44" t="e">
        <f>SUM(B57/#REF!)</f>
        <v>#REF!</v>
      </c>
      <c r="E57" s="28" t="e">
        <f>SUM(C57/#REF!)</f>
        <v>#REF!</v>
      </c>
      <c r="F57" s="22" t="e">
        <f t="shared" si="3"/>
        <v>#REF!</v>
      </c>
      <c r="G57" s="45" t="e">
        <f>SUM(100000*0.58+G56)</f>
        <v>#REF!</v>
      </c>
      <c r="H57" s="30"/>
      <c r="I57" s="28" t="e">
        <f>SUM(#REF!/#REF!)</f>
        <v>#REF!</v>
      </c>
    </row>
    <row r="58" spans="2:9" ht="15.75" hidden="1" x14ac:dyDescent="0.25">
      <c r="B58" s="25" t="e">
        <f t="shared" si="4"/>
        <v>#REF!</v>
      </c>
      <c r="C58" s="26" t="e">
        <f>SUM(#REF!-B58)</f>
        <v>#REF!</v>
      </c>
      <c r="D58" s="27" t="e">
        <f>SUM(B58/#REF!)</f>
        <v>#REF!</v>
      </c>
      <c r="E58" s="28" t="e">
        <f>SUM(C58/#REF!)</f>
        <v>#REF!</v>
      </c>
      <c r="F58" s="22" t="e">
        <f t="shared" si="3"/>
        <v>#REF!</v>
      </c>
      <c r="G58" s="29" t="e">
        <f>SUM(100000*0.58+G57)</f>
        <v>#REF!</v>
      </c>
      <c r="H58" s="30"/>
      <c r="I58" s="28" t="e">
        <f>SUM(#REF!/#REF!)</f>
        <v>#REF!</v>
      </c>
    </row>
    <row r="59" spans="2:9" ht="15.75" hidden="1" x14ac:dyDescent="0.25">
      <c r="B59" s="25" t="e">
        <f t="shared" si="4"/>
        <v>#REF!</v>
      </c>
      <c r="C59" s="26" t="e">
        <f>SUM(#REF!-B59)</f>
        <v>#REF!</v>
      </c>
      <c r="D59" s="27" t="e">
        <f>SUM(B59/#REF!)</f>
        <v>#REF!</v>
      </c>
      <c r="E59" s="28" t="e">
        <f>SUM(C59/#REF!)</f>
        <v>#REF!</v>
      </c>
      <c r="F59" s="46" t="e">
        <f>E59-0.015</f>
        <v>#REF!</v>
      </c>
      <c r="G59" s="29" t="e">
        <f>SUM(100000*0.58+G58)</f>
        <v>#REF!</v>
      </c>
      <c r="H59" s="30"/>
      <c r="I59" s="28" t="e">
        <f>SUM(#REF!/#REF!)</f>
        <v>#REF!</v>
      </c>
    </row>
    <row r="60" spans="2:9" ht="15.75" hidden="1" x14ac:dyDescent="0.25">
      <c r="B60" s="25" t="e">
        <f t="shared" si="4"/>
        <v>#REF!</v>
      </c>
      <c r="C60" s="26" t="e">
        <f>SUM(#REF!-B60)</f>
        <v>#REF!</v>
      </c>
      <c r="D60" s="27" t="e">
        <f>SUM(B60/#REF!)</f>
        <v>#REF!</v>
      </c>
      <c r="E60" s="28" t="e">
        <f>SUM(C60/#REF!)</f>
        <v>#REF!</v>
      </c>
      <c r="F60" s="46" t="e">
        <f>E60-0.015</f>
        <v>#REF!</v>
      </c>
      <c r="G60" s="29" t="e">
        <f>SUM(100000*0.58+G59)</f>
        <v>#REF!</v>
      </c>
      <c r="H60" s="30"/>
      <c r="I60" s="28" t="e">
        <f>SUM(#REF!/#REF!)</f>
        <v>#REF!</v>
      </c>
    </row>
    <row r="61" spans="2:9" ht="15.75" hidden="1" x14ac:dyDescent="0.25">
      <c r="B61" s="25" t="e">
        <f t="shared" si="4"/>
        <v>#REF!</v>
      </c>
      <c r="C61" s="26" t="e">
        <f>SUM(#REF!-B61)</f>
        <v>#REF!</v>
      </c>
      <c r="D61" s="27" t="e">
        <f>SUM(B61/#REF!)</f>
        <v>#REF!</v>
      </c>
      <c r="E61" s="28" t="e">
        <f>SUM(C61/#REF!)</f>
        <v>#REF!</v>
      </c>
      <c r="F61" s="46" t="e">
        <f>E61-0.015</f>
        <v>#REF!</v>
      </c>
      <c r="G61" s="29" t="e">
        <f>SUM(100000*0.57+G60)</f>
        <v>#REF!</v>
      </c>
      <c r="H61" s="30"/>
      <c r="I61" s="28" t="e">
        <f>SUM(#REF!/#REF!)</f>
        <v>#REF!</v>
      </c>
    </row>
    <row r="62" spans="2:9" ht="15.75" hidden="1" x14ac:dyDescent="0.25">
      <c r="B62" s="25" t="e">
        <f t="shared" si="4"/>
        <v>#REF!</v>
      </c>
      <c r="C62" s="26" t="e">
        <f>SUM(#REF!-B62)</f>
        <v>#REF!</v>
      </c>
      <c r="D62" s="27" t="e">
        <f>SUM(B62/#REF!)</f>
        <v>#REF!</v>
      </c>
      <c r="E62" s="28" t="e">
        <f>SUM(C62/#REF!)</f>
        <v>#REF!</v>
      </c>
      <c r="F62" s="46" t="e">
        <f>E62-0.015</f>
        <v>#REF!</v>
      </c>
      <c r="G62" s="29" t="e">
        <f>SUM(100000*0.57+G61)</f>
        <v>#REF!</v>
      </c>
      <c r="H62" s="30"/>
      <c r="I62" s="28" t="e">
        <f>SUM(#REF!/#REF!)</f>
        <v>#REF!</v>
      </c>
    </row>
    <row r="63" spans="2:9" ht="16.5" hidden="1" thickBot="1" x14ac:dyDescent="0.3">
      <c r="B63" s="47" t="e">
        <f t="shared" si="4"/>
        <v>#REF!</v>
      </c>
      <c r="C63" s="48" t="e">
        <f>SUM(#REF!-B63)</f>
        <v>#REF!</v>
      </c>
      <c r="D63" s="49" t="e">
        <f>SUM(B63/#REF!)</f>
        <v>#REF!</v>
      </c>
      <c r="E63" s="50" t="e">
        <f>SUM(C63/#REF!)</f>
        <v>#REF!</v>
      </c>
      <c r="F63" s="51" t="e">
        <f>E63-0.015</f>
        <v>#REF!</v>
      </c>
      <c r="G63" s="52" t="e">
        <f>SUM(100000*0.56+G62)</f>
        <v>#REF!</v>
      </c>
      <c r="H63" s="53"/>
      <c r="I63" s="50" t="e">
        <f>SUM(#REF!/#REF!)</f>
        <v>#REF!</v>
      </c>
    </row>
  </sheetData>
  <sheetProtection algorithmName="SHA-512" hashValue="POcDjQg6POyY3XPiQjoazuZXMQJGXVg4tY+uzgefshJI6mYHISF5/kCBoidXLWa1vkX6e+w/VWP0TsE4AqtWwg==" saltValue="M3pJXJsBpJ0zO56ALiBSYw==" spinCount="100000" sheet="1" objects="1" scenarios="1" selectLockedCells="1"/>
  <pageMargins left="0.25" right="0.25" top="0.75" bottom="0.75" header="0.3" footer="0.3"/>
  <pageSetup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5DAD-0CFF-46F7-9FA2-26E6B2B9ADCF}">
  <sheetPr codeName="Sheet3"/>
  <dimension ref="A1:B24"/>
  <sheetViews>
    <sheetView workbookViewId="0">
      <selection activeCell="A24" sqref="A24"/>
    </sheetView>
  </sheetViews>
  <sheetFormatPr defaultRowHeight="15" x14ac:dyDescent="0.25"/>
  <cols>
    <col min="1" max="1" width="23.42578125" style="56" customWidth="1"/>
    <col min="2" max="2" width="18.28515625" style="58" customWidth="1"/>
  </cols>
  <sheetData>
    <row r="1" spans="1:2" x14ac:dyDescent="0.25">
      <c r="A1" s="57" t="s">
        <v>30</v>
      </c>
      <c r="B1" s="57" t="s">
        <v>30</v>
      </c>
    </row>
    <row r="2" spans="1:2" x14ac:dyDescent="0.25">
      <c r="A2" s="56">
        <f>IF(Sheet1!$H$2&gt;Sheet1!C13,(Sheet1!C13*Sheet1!E13),Sheet1!$H$2*Sheet1!E13)</f>
        <v>78000</v>
      </c>
      <c r="B2" s="59" t="str">
        <f>Sheet1!G13</f>
        <v xml:space="preserve"> </v>
      </c>
    </row>
    <row r="3" spans="1:2" x14ac:dyDescent="0.25">
      <c r="A3" s="56">
        <f>IF(AND((Sheet1!$H$2&lt;300001), (Sheet1!$H$2&gt;150000)), (Sheet1!$H$2-Sheet1!C13)*Sheet1!E14, 0)</f>
        <v>0</v>
      </c>
      <c r="B3" s="59" t="e">
        <f>B2+Sheet1!G14</f>
        <v>#VALUE!</v>
      </c>
    </row>
    <row r="4" spans="1:2" x14ac:dyDescent="0.25">
      <c r="A4" s="56">
        <f>IF(AND((Sheet1!$H$2&lt;400001), (Sheet1!$H$2&gt;300000)), ((Sheet1!$H$2-Sheet1!C13-Sheet1!C14)*Sheet1!E15)+149999*51%, 0)</f>
        <v>0</v>
      </c>
      <c r="B4" s="59" t="e">
        <f>B3+Sheet1!G15</f>
        <v>#VALUE!</v>
      </c>
    </row>
    <row r="5" spans="1:2" x14ac:dyDescent="0.25">
      <c r="A5" s="56">
        <f>IF(AND((Sheet1!$H$2&lt;500001), (Sheet1!$H$2&gt;400000)), ((((Sheet1!$H$2-Sheet1!C13-Sheet1!C14-Sheet1!C15)*Sheet1!E16)+149999*51%)+99999*48%), 0)</f>
        <v>144644.15</v>
      </c>
      <c r="B5" s="59" t="e">
        <f>B4+Sheet1!G16</f>
        <v>#VALUE!</v>
      </c>
    </row>
    <row r="6" spans="1:2" x14ac:dyDescent="0.25">
      <c r="A6" s="56">
        <f>IF(AND((Sheet1!$H$2&lt;750001), (Sheet1!$H$2&gt;500000)), (((((Sheet1!$H$2-Sheet1!C13-Sheet1!C14-Sheet1!C15-Sheet1!C16)*Sheet1!E17)+149999*51%)+99999*48%)+99999*47%), 0)</f>
        <v>0</v>
      </c>
      <c r="B6" s="59" t="e">
        <f>B5+Sheet1!G17</f>
        <v>#VALUE!</v>
      </c>
    </row>
    <row r="7" spans="1:2" x14ac:dyDescent="0.25">
      <c r="A7" s="56">
        <f>IF(AND((Sheet1!$H$2&lt;1000001), (Sheet1!$H$2&gt;750000)), ((((((Sheet1!$H$2-Sheet1!C13-Sheet1!C14-Sheet1!C15-Sheet1!C16-Sheet1!C17)*Sheet1!E18)+149999*51%)+99999*48%)+99999*47%)+249999*45%), 0)</f>
        <v>0</v>
      </c>
      <c r="B7" s="59" t="e">
        <f>B6+Sheet1!G18</f>
        <v>#VALUE!</v>
      </c>
    </row>
    <row r="8" spans="1:2" x14ac:dyDescent="0.25">
      <c r="A8" s="56">
        <f>IF(AND(Sheet1!$H$2&gt;1000001), (((((((Sheet1!$H$2-Sheet1!C13-Sheet1!C14-Sheet1!C15-Sheet1!C16-Sheet1!C17-Sheet1!C18)*Sheet1!E19)+149999*51%)+99999*48%)+99999*47%)+249999*45%)+249999*44%), 0)</f>
        <v>0</v>
      </c>
      <c r="B8" s="59"/>
    </row>
    <row r="9" spans="1:2" x14ac:dyDescent="0.25">
      <c r="B9" s="59"/>
    </row>
    <row r="10" spans="1:2" x14ac:dyDescent="0.25">
      <c r="A10" s="57">
        <f>SUM(A2:A8)</f>
        <v>222644.15</v>
      </c>
    </row>
    <row r="12" spans="1:2" x14ac:dyDescent="0.25">
      <c r="A12" s="56">
        <f>IF(Sheet1!$H$2&gt;Sheet1!C25,(Sheet1!C25*Sheet1!E25),Sheet1!$H$2*Sheet1!E25)</f>
        <v>110000.00000000001</v>
      </c>
    </row>
    <row r="13" spans="1:2" x14ac:dyDescent="0.25">
      <c r="A13" s="56">
        <f>IF(AND((Sheet1!$H$2&lt;250001), (Sheet1!$H$2&gt;200000)), (Sheet1!$H$2-Sheet1!C25)*Sheet1!E26, 0)</f>
        <v>0</v>
      </c>
      <c r="B13" s="59">
        <f>Sheet1!G25</f>
        <v>110000</v>
      </c>
    </row>
    <row r="14" spans="1:2" x14ac:dyDescent="0.25">
      <c r="A14" s="56">
        <f>IF(AND((Sheet1!$H$2&lt;300001), (Sheet1!$H$2&gt;250000)), ((Sheet1!$H$2-Sheet1!C25-Sheet1!C26)*Sheet1!E27)+49999*51%, 0)</f>
        <v>0</v>
      </c>
      <c r="B14" s="59">
        <f>B13+Sheet1!G26</f>
        <v>135499.49</v>
      </c>
    </row>
    <row r="15" spans="1:2" x14ac:dyDescent="0.25">
      <c r="A15" s="56">
        <f>IF(AND((Sheet1!$H$2&lt;350001), (Sheet1!$H$2&gt;300000)), ((((Sheet1!$H$2-Sheet1!C25-Sheet1!C26-Sheet1!C27)*Sheet1!E28)+49999*51%)+49999*46%), 0)</f>
        <v>0</v>
      </c>
      <c r="B15" s="59">
        <f>B14+Sheet1!G27</f>
        <v>158499.03</v>
      </c>
    </row>
    <row r="16" spans="1:2" x14ac:dyDescent="0.25">
      <c r="A16" s="56">
        <f>IF(AND((Sheet1!$H$2&lt;400001), (Sheet1!$H$2&gt;350000)), (((((Sheet1!$H$2-Sheet1!C25-Sheet1!C26-Sheet1!C27-Sheet1!C28)*Sheet1!E29)+49999*51%)+49999*46%)+49999*45%), 0)</f>
        <v>0</v>
      </c>
      <c r="B16" s="59">
        <f>B15+Sheet1!G28</f>
        <v>180998.58</v>
      </c>
    </row>
    <row r="17" spans="1:2" x14ac:dyDescent="0.25">
      <c r="A17" s="56">
        <f>IF(AND((Sheet1!$H$2&gt;400000), (Sheet1!$H$2&lt;450001)), ((((((Sheet1!$H$2-Sheet1!C25-Sheet1!C26-Sheet1!C27-Sheet1!C28-Sheet1!C29)*Sheet1!E30)+49999*51%)+49999*46%)+49999*45%)+49999*44%), 0)</f>
        <v>111429.66</v>
      </c>
      <c r="B17" s="59">
        <f>B16+Sheet1!G29</f>
        <v>202998.13999999998</v>
      </c>
    </row>
    <row r="18" spans="1:2" x14ac:dyDescent="0.25">
      <c r="A18" s="56">
        <f>IF(AND((Sheet1!$H$2&lt;650001), (Sheet1!$H$2&gt;450000)), (((((((Sheet1!$H$2-Sheet1!C25-Sheet1!C26-Sheet1!C27-Sheet1!C28-Sheet1!C29-Sheet1!C30)*Sheet1!E31)+49999*51%)+49999*46%)+49999*45%)+49999*44%)+49999*43%), 0)</f>
        <v>0</v>
      </c>
      <c r="B18" s="59">
        <f>B17+Sheet1!G30</f>
        <v>224497.71</v>
      </c>
    </row>
    <row r="19" spans="1:2" x14ac:dyDescent="0.25">
      <c r="A19" s="56">
        <f>IF(AND((Sheet1!$H$2&lt;900001), (Sheet1!$H$2&gt;650000)), ((((((((Sheet1!$H$2-Sheet1!C25-Sheet1!C26-Sheet1!C27-Sheet1!C28-Sheet1!C29-Sheet1!C30-Sheet1!C31)*Sheet1!E32)+49999*51%)+49999*46%)+49999*45%)+49999*44%)+49999*43%)+199999*42%), 0)</f>
        <v>0</v>
      </c>
      <c r="B19" s="59">
        <f>B18+Sheet1!G31</f>
        <v>308497.28999999998</v>
      </c>
    </row>
    <row r="20" spans="1:2" x14ac:dyDescent="0.25">
      <c r="A20" s="56">
        <f>IF(AND((Sheet1!$H$2&lt;1400001), (Sheet1!$H$2&gt;900000)), (((((((((Sheet1!$H$2-Sheet1!C25-Sheet1!C26-Sheet1!C27-Sheet1!C28-Sheet1!C29-Sheet1!C30-Sheet1!C31-Sheet1!C32)*Sheet1!E33)+49999*51%)+49999*46%)+49999*45%)+49999*44%)+49999*43%)+199999*42%)+249999*41%), 0)</f>
        <v>0</v>
      </c>
      <c r="B20" s="59">
        <f>B19+Sheet1!G32</f>
        <v>410996.88</v>
      </c>
    </row>
    <row r="21" spans="1:2" x14ac:dyDescent="0.25">
      <c r="A21" s="56">
        <f>IF(AND((Sheet1!$H$2&lt;1600001), (Sheet1!$H$2&gt;1400000)), ((((((((((Sheet1!$H$2-Sheet1!C25-Sheet1!C26-Sheet1!C27-Sheet1!C28-Sheet1!C29-Sheet1!C30-Sheet1!C31-Sheet1!C32-Sheet1!C33)*Sheet1!E34)+49999*51%)+49999*46%)+49999*45%)+49999*44%)+49999*43%)+199999*42%)+249999*41%)+499999*42%), 0)</f>
        <v>0</v>
      </c>
      <c r="B21" s="59">
        <f>B20+Sheet1!G33</f>
        <v>620996.46</v>
      </c>
    </row>
    <row r="22" spans="1:2" x14ac:dyDescent="0.25">
      <c r="A22" s="56">
        <f>IF(AND((Sheet1!$H$2&gt;1600001)), (((((((((((Sheet1!$H$2-Sheet1!C25-Sheet1!C26-Sheet1!C27-Sheet1!C28-Sheet1!C29-Sheet1!C30-Sheet1!C31-Sheet1!C32-Sheet1!C33-Sheet1!C34)*Sheet1!E35)+49999*51%)+49999*46%)+49999*45%)+49999*44%)+49999*43%)+199999*42%)+249999*41%)+499999*42%)+199999*43%), 0)</f>
        <v>0</v>
      </c>
      <c r="B22" s="59">
        <f>B21+Sheet1!G34</f>
        <v>706996.03</v>
      </c>
    </row>
    <row r="24" spans="1:2" x14ac:dyDescent="0.25">
      <c r="A24" s="57">
        <f>SUM(A12:A23)</f>
        <v>221429.66000000003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FOASC 711</cp:lastModifiedBy>
  <cp:lastPrinted>2018-07-19T03:10:23Z</cp:lastPrinted>
  <dcterms:created xsi:type="dcterms:W3CDTF">2018-06-26T17:16:50Z</dcterms:created>
  <dcterms:modified xsi:type="dcterms:W3CDTF">2018-07-30T20:09:22Z</dcterms:modified>
</cp:coreProperties>
</file>